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L-OSP\CONTRACTS\Contracts\2018\04118 - Condoms MMCAP\_SampleContractFolder\5-Contract\04118 Contract Documents\Global Protection\"/>
    </mc:Choice>
  </mc:AlternateContent>
  <xr:revisionPtr revIDLastSave="0" documentId="8_{41843E67-4BC8-4F44-86AA-170E634B6662}" xr6:coauthVersionLast="47" xr6:coauthVersionMax="47" xr10:uidLastSave="{00000000-0000-0000-0000-000000000000}"/>
  <bookViews>
    <workbookView xWindow="1995" yWindow="-16320" windowWidth="29040" windowHeight="15840" xr2:uid="{00000000-000D-0000-FFFF-FFFF00000000}"/>
  </bookViews>
  <sheets>
    <sheet name="Amendment #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C4" i="1"/>
  <c r="E4" i="1"/>
  <c r="F4" i="1"/>
  <c r="G4" i="1"/>
  <c r="H4" i="1"/>
  <c r="I4" i="1"/>
  <c r="J4" i="1"/>
  <c r="K4" i="1"/>
  <c r="L4" i="1"/>
  <c r="A5" i="1"/>
  <c r="C5" i="1"/>
  <c r="E5" i="1"/>
  <c r="F5" i="1"/>
  <c r="G5" i="1"/>
  <c r="H5" i="1"/>
  <c r="I5" i="1"/>
  <c r="J5" i="1"/>
  <c r="K5" i="1"/>
  <c r="L5" i="1"/>
  <c r="A6" i="1"/>
  <c r="C6" i="1"/>
  <c r="E6" i="1"/>
  <c r="F6" i="1"/>
  <c r="G6" i="1"/>
  <c r="H6" i="1"/>
  <c r="I6" i="1"/>
  <c r="J6" i="1"/>
  <c r="K6" i="1"/>
  <c r="L6" i="1"/>
  <c r="A7" i="1"/>
  <c r="C7" i="1"/>
  <c r="E7" i="1"/>
  <c r="F7" i="1"/>
  <c r="G7" i="1"/>
  <c r="H7" i="1"/>
  <c r="I7" i="1"/>
  <c r="J7" i="1"/>
  <c r="K7" i="1"/>
  <c r="L7" i="1"/>
  <c r="A8" i="1"/>
  <c r="C8" i="1"/>
  <c r="E8" i="1"/>
  <c r="F8" i="1"/>
  <c r="G8" i="1"/>
  <c r="H8" i="1"/>
  <c r="I8" i="1"/>
  <c r="J8" i="1"/>
  <c r="K8" i="1"/>
  <c r="L8" i="1"/>
  <c r="A9" i="1"/>
  <c r="C9" i="1"/>
  <c r="E9" i="1"/>
  <c r="F9" i="1"/>
  <c r="G9" i="1"/>
  <c r="H9" i="1"/>
  <c r="I9" i="1"/>
  <c r="J9" i="1"/>
  <c r="K9" i="1"/>
  <c r="L9" i="1"/>
  <c r="A10" i="1"/>
  <c r="C10" i="1"/>
  <c r="E10" i="1"/>
  <c r="F10" i="1"/>
  <c r="G10" i="1"/>
  <c r="H10" i="1"/>
  <c r="I10" i="1"/>
  <c r="J10" i="1"/>
  <c r="K10" i="1"/>
  <c r="L10" i="1"/>
  <c r="A11" i="1"/>
  <c r="C11" i="1"/>
  <c r="E11" i="1"/>
  <c r="F11" i="1"/>
  <c r="G11" i="1"/>
  <c r="H11" i="1"/>
  <c r="I11" i="1"/>
  <c r="J11" i="1"/>
  <c r="K11" i="1"/>
  <c r="L11" i="1"/>
  <c r="A12" i="1"/>
  <c r="C12" i="1"/>
  <c r="E12" i="1"/>
  <c r="F12" i="1"/>
  <c r="G12" i="1"/>
  <c r="H12" i="1"/>
  <c r="I12" i="1"/>
  <c r="J12" i="1"/>
  <c r="K12" i="1"/>
  <c r="L12" i="1"/>
  <c r="A13" i="1"/>
  <c r="C13" i="1"/>
  <c r="E13" i="1"/>
  <c r="F13" i="1"/>
  <c r="G13" i="1"/>
  <c r="H13" i="1"/>
  <c r="I13" i="1"/>
  <c r="J13" i="1"/>
  <c r="K13" i="1"/>
  <c r="L13" i="1"/>
  <c r="A14" i="1"/>
  <c r="C14" i="1"/>
  <c r="E14" i="1"/>
  <c r="F14" i="1"/>
  <c r="G14" i="1"/>
  <c r="H14" i="1"/>
  <c r="I14" i="1"/>
  <c r="J14" i="1"/>
  <c r="K14" i="1"/>
  <c r="L14" i="1"/>
  <c r="A15" i="1"/>
  <c r="C15" i="1"/>
  <c r="E15" i="1"/>
  <c r="F15" i="1"/>
  <c r="G15" i="1"/>
  <c r="H15" i="1"/>
  <c r="I15" i="1"/>
  <c r="J15" i="1"/>
  <c r="K15" i="1"/>
  <c r="L15" i="1"/>
  <c r="A16" i="1"/>
  <c r="C16" i="1"/>
  <c r="E16" i="1"/>
  <c r="F16" i="1"/>
  <c r="G16" i="1"/>
  <c r="H16" i="1"/>
  <c r="I16" i="1"/>
  <c r="J16" i="1"/>
  <c r="K16" i="1"/>
  <c r="L16" i="1"/>
  <c r="A17" i="1"/>
  <c r="C17" i="1"/>
  <c r="E17" i="1"/>
  <c r="F17" i="1"/>
  <c r="G17" i="1"/>
  <c r="H17" i="1"/>
  <c r="I17" i="1"/>
  <c r="J17" i="1"/>
  <c r="K17" i="1"/>
  <c r="L17" i="1"/>
  <c r="A18" i="1"/>
  <c r="C18" i="1"/>
  <c r="E18" i="1"/>
  <c r="F18" i="1"/>
  <c r="G18" i="1"/>
  <c r="H18" i="1"/>
  <c r="I18" i="1"/>
  <c r="J18" i="1"/>
  <c r="K18" i="1"/>
  <c r="L18" i="1"/>
  <c r="A19" i="1"/>
  <c r="C19" i="1"/>
  <c r="E19" i="1"/>
  <c r="F19" i="1"/>
  <c r="G19" i="1"/>
  <c r="H19" i="1"/>
  <c r="I19" i="1"/>
  <c r="J19" i="1"/>
  <c r="K19" i="1"/>
  <c r="L19" i="1"/>
  <c r="A20" i="1"/>
  <c r="C20" i="1"/>
  <c r="E20" i="1"/>
  <c r="F20" i="1"/>
  <c r="G20" i="1"/>
  <c r="H20" i="1"/>
  <c r="I20" i="1"/>
  <c r="J20" i="1"/>
  <c r="K20" i="1"/>
  <c r="L20" i="1"/>
  <c r="A21" i="1"/>
  <c r="C21" i="1"/>
  <c r="E21" i="1"/>
  <c r="F21" i="1"/>
  <c r="G21" i="1"/>
  <c r="H21" i="1"/>
  <c r="I21" i="1"/>
  <c r="J21" i="1"/>
  <c r="K21" i="1"/>
  <c r="L21" i="1"/>
  <c r="A22" i="1"/>
  <c r="C22" i="1"/>
  <c r="E22" i="1"/>
  <c r="F22" i="1"/>
  <c r="G22" i="1"/>
  <c r="H22" i="1"/>
  <c r="I22" i="1"/>
  <c r="J22" i="1"/>
  <c r="K22" i="1"/>
  <c r="L22" i="1"/>
  <c r="A23" i="1"/>
  <c r="C23" i="1"/>
  <c r="E23" i="1"/>
  <c r="F23" i="1"/>
  <c r="G23" i="1"/>
  <c r="H23" i="1"/>
  <c r="I23" i="1"/>
  <c r="J23" i="1"/>
  <c r="K23" i="1"/>
  <c r="L23" i="1"/>
  <c r="A24" i="1"/>
  <c r="C24" i="1"/>
  <c r="E24" i="1"/>
  <c r="F24" i="1"/>
  <c r="G24" i="1"/>
  <c r="H24" i="1"/>
  <c r="I24" i="1"/>
  <c r="J24" i="1"/>
  <c r="K24" i="1"/>
  <c r="L24" i="1"/>
  <c r="A25" i="1"/>
  <c r="C25" i="1"/>
  <c r="E25" i="1"/>
  <c r="F25" i="1"/>
  <c r="G25" i="1"/>
  <c r="H25" i="1"/>
  <c r="I25" i="1"/>
  <c r="J25" i="1"/>
  <c r="K25" i="1"/>
  <c r="L25" i="1"/>
  <c r="A26" i="1"/>
  <c r="C26" i="1"/>
  <c r="E26" i="1"/>
  <c r="F26" i="1"/>
  <c r="G26" i="1"/>
  <c r="H26" i="1"/>
  <c r="I26" i="1"/>
  <c r="J26" i="1"/>
  <c r="K26" i="1"/>
  <c r="L26" i="1"/>
  <c r="A27" i="1"/>
  <c r="C27" i="1"/>
  <c r="E27" i="1"/>
  <c r="F27" i="1"/>
  <c r="G27" i="1"/>
  <c r="H27" i="1"/>
  <c r="I27" i="1"/>
  <c r="J27" i="1"/>
  <c r="K27" i="1"/>
  <c r="L27" i="1"/>
  <c r="A28" i="1"/>
  <c r="C28" i="1"/>
  <c r="E28" i="1"/>
  <c r="F28" i="1"/>
  <c r="G28" i="1"/>
  <c r="H28" i="1"/>
  <c r="I28" i="1"/>
  <c r="J28" i="1"/>
  <c r="K28" i="1"/>
  <c r="L28" i="1"/>
  <c r="A29" i="1"/>
  <c r="C29" i="1"/>
  <c r="E29" i="1"/>
  <c r="F29" i="1"/>
  <c r="G29" i="1"/>
  <c r="H29" i="1"/>
  <c r="I29" i="1"/>
  <c r="J29" i="1"/>
  <c r="K29" i="1"/>
  <c r="L29" i="1"/>
  <c r="A30" i="1"/>
  <c r="C30" i="1"/>
  <c r="E30" i="1"/>
  <c r="F30" i="1"/>
  <c r="G30" i="1"/>
  <c r="H30" i="1"/>
  <c r="I30" i="1"/>
  <c r="J30" i="1"/>
  <c r="K30" i="1"/>
  <c r="L30" i="1"/>
  <c r="A31" i="1"/>
  <c r="C31" i="1"/>
  <c r="E31" i="1"/>
  <c r="F31" i="1"/>
  <c r="G31" i="1"/>
  <c r="H31" i="1"/>
  <c r="I31" i="1"/>
  <c r="J31" i="1"/>
  <c r="K31" i="1"/>
  <c r="L31" i="1"/>
  <c r="A32" i="1"/>
  <c r="C32" i="1"/>
  <c r="E32" i="1"/>
  <c r="F32" i="1"/>
  <c r="G32" i="1"/>
  <c r="H32" i="1"/>
  <c r="I32" i="1"/>
  <c r="J32" i="1"/>
  <c r="K32" i="1"/>
  <c r="L32" i="1"/>
  <c r="A33" i="1"/>
  <c r="C33" i="1"/>
  <c r="E33" i="1"/>
  <c r="F33" i="1"/>
  <c r="G33" i="1"/>
  <c r="H33" i="1"/>
  <c r="I33" i="1"/>
  <c r="J33" i="1"/>
  <c r="K33" i="1"/>
  <c r="L33" i="1"/>
  <c r="A34" i="1"/>
  <c r="C34" i="1"/>
  <c r="E34" i="1"/>
  <c r="F34" i="1"/>
  <c r="G34" i="1"/>
  <c r="H34" i="1"/>
  <c r="I34" i="1"/>
  <c r="J34" i="1"/>
  <c r="K34" i="1"/>
  <c r="L34" i="1"/>
  <c r="A35" i="1"/>
  <c r="C35" i="1"/>
  <c r="E35" i="1"/>
  <c r="F35" i="1"/>
  <c r="G35" i="1"/>
  <c r="H35" i="1"/>
  <c r="I35" i="1"/>
  <c r="J35" i="1"/>
  <c r="K35" i="1"/>
  <c r="L35" i="1"/>
  <c r="A36" i="1"/>
  <c r="C36" i="1"/>
  <c r="E36" i="1"/>
  <c r="F36" i="1"/>
  <c r="G36" i="1"/>
  <c r="H36" i="1"/>
  <c r="I36" i="1"/>
  <c r="J36" i="1"/>
  <c r="K36" i="1"/>
  <c r="L36" i="1"/>
  <c r="A37" i="1"/>
  <c r="C37" i="1"/>
  <c r="E37" i="1"/>
  <c r="F37" i="1"/>
  <c r="G37" i="1"/>
  <c r="H37" i="1"/>
  <c r="I37" i="1"/>
  <c r="J37" i="1"/>
  <c r="K37" i="1"/>
  <c r="L37" i="1"/>
  <c r="A38" i="1"/>
  <c r="C38" i="1"/>
  <c r="E38" i="1"/>
  <c r="F38" i="1"/>
  <c r="G38" i="1"/>
  <c r="H38" i="1"/>
  <c r="I38" i="1"/>
  <c r="J38" i="1"/>
  <c r="K38" i="1"/>
  <c r="L38" i="1"/>
  <c r="A39" i="1"/>
  <c r="C39" i="1"/>
  <c r="E39" i="1"/>
  <c r="F39" i="1"/>
  <c r="G39" i="1"/>
  <c r="H39" i="1"/>
  <c r="I39" i="1"/>
  <c r="J39" i="1"/>
  <c r="K39" i="1"/>
  <c r="L39" i="1"/>
  <c r="A40" i="1"/>
  <c r="C40" i="1"/>
  <c r="E40" i="1"/>
  <c r="F40" i="1"/>
  <c r="G40" i="1"/>
  <c r="H40" i="1"/>
  <c r="I40" i="1"/>
  <c r="J40" i="1"/>
  <c r="K40" i="1"/>
  <c r="L40" i="1"/>
  <c r="A41" i="1"/>
  <c r="C41" i="1"/>
  <c r="E41" i="1"/>
  <c r="F41" i="1"/>
  <c r="G41" i="1"/>
  <c r="H41" i="1"/>
  <c r="I41" i="1"/>
  <c r="J41" i="1"/>
  <c r="K41" i="1"/>
  <c r="L41" i="1"/>
  <c r="A42" i="1"/>
  <c r="C42" i="1"/>
  <c r="E42" i="1"/>
  <c r="F42" i="1"/>
  <c r="G42" i="1"/>
  <c r="H42" i="1"/>
  <c r="I42" i="1"/>
  <c r="J42" i="1"/>
  <c r="K42" i="1"/>
  <c r="L42" i="1"/>
  <c r="A43" i="1"/>
  <c r="C43" i="1"/>
  <c r="E43" i="1"/>
  <c r="F43" i="1"/>
  <c r="G43" i="1"/>
  <c r="H43" i="1"/>
  <c r="I43" i="1"/>
  <c r="J43" i="1"/>
  <c r="K43" i="1"/>
  <c r="L43" i="1"/>
  <c r="A44" i="1"/>
  <c r="C44" i="1"/>
  <c r="E44" i="1"/>
  <c r="F44" i="1"/>
  <c r="G44" i="1"/>
  <c r="H44" i="1"/>
  <c r="I44" i="1"/>
  <c r="J44" i="1"/>
  <c r="K44" i="1"/>
  <c r="L44" i="1"/>
  <c r="A45" i="1"/>
  <c r="C45" i="1"/>
  <c r="E45" i="1"/>
  <c r="F45" i="1"/>
  <c r="G45" i="1"/>
  <c r="H45" i="1"/>
  <c r="I45" i="1"/>
  <c r="J45" i="1"/>
  <c r="K45" i="1"/>
  <c r="L45" i="1"/>
  <c r="A46" i="1"/>
  <c r="C46" i="1"/>
  <c r="E46" i="1"/>
  <c r="F46" i="1"/>
  <c r="G46" i="1"/>
  <c r="H46" i="1"/>
  <c r="I46" i="1"/>
  <c r="J46" i="1"/>
  <c r="K46" i="1"/>
  <c r="L46" i="1"/>
  <c r="A47" i="1"/>
  <c r="C47" i="1"/>
  <c r="E47" i="1"/>
  <c r="F47" i="1"/>
  <c r="G47" i="1"/>
  <c r="H47" i="1"/>
  <c r="I47" i="1"/>
  <c r="J47" i="1"/>
  <c r="K47" i="1"/>
  <c r="L47" i="1"/>
  <c r="A48" i="1"/>
  <c r="C48" i="1"/>
  <c r="E48" i="1"/>
  <c r="F48" i="1"/>
  <c r="G48" i="1"/>
  <c r="H48" i="1"/>
  <c r="I48" i="1"/>
  <c r="J48" i="1"/>
  <c r="K48" i="1"/>
  <c r="L48" i="1"/>
  <c r="A49" i="1"/>
  <c r="C49" i="1"/>
  <c r="E49" i="1"/>
  <c r="F49" i="1"/>
  <c r="G49" i="1"/>
  <c r="H49" i="1"/>
  <c r="I49" i="1"/>
  <c r="J49" i="1"/>
  <c r="K49" i="1"/>
  <c r="L49" i="1"/>
  <c r="A50" i="1"/>
  <c r="C50" i="1"/>
  <c r="E50" i="1"/>
  <c r="F50" i="1"/>
  <c r="G50" i="1"/>
  <c r="H50" i="1"/>
  <c r="I50" i="1"/>
  <c r="J50" i="1"/>
  <c r="K50" i="1"/>
  <c r="L50" i="1"/>
  <c r="A51" i="1"/>
  <c r="C51" i="1"/>
  <c r="E51" i="1"/>
  <c r="F51" i="1"/>
  <c r="G51" i="1"/>
  <c r="H51" i="1"/>
  <c r="I51" i="1"/>
  <c r="J51" i="1"/>
  <c r="K51" i="1"/>
  <c r="L51" i="1"/>
  <c r="A52" i="1"/>
  <c r="C52" i="1"/>
  <c r="E52" i="1"/>
  <c r="F52" i="1"/>
  <c r="G52" i="1"/>
  <c r="H52" i="1"/>
  <c r="I52" i="1"/>
  <c r="J52" i="1"/>
  <c r="K52" i="1"/>
  <c r="L52" i="1"/>
  <c r="A53" i="1"/>
  <c r="C53" i="1"/>
  <c r="E53" i="1"/>
  <c r="F53" i="1"/>
  <c r="G53" i="1"/>
  <c r="H53" i="1"/>
  <c r="I53" i="1"/>
  <c r="J53" i="1"/>
  <c r="K53" i="1"/>
  <c r="L53" i="1"/>
  <c r="A54" i="1"/>
  <c r="C54" i="1"/>
  <c r="E54" i="1"/>
  <c r="F54" i="1"/>
  <c r="G54" i="1"/>
  <c r="H54" i="1"/>
  <c r="I54" i="1"/>
  <c r="J54" i="1"/>
  <c r="K54" i="1"/>
  <c r="L54" i="1"/>
  <c r="A55" i="1"/>
  <c r="C55" i="1"/>
  <c r="E55" i="1"/>
  <c r="F55" i="1"/>
  <c r="G55" i="1"/>
  <c r="H55" i="1"/>
  <c r="I55" i="1"/>
  <c r="J55" i="1"/>
  <c r="K55" i="1"/>
  <c r="L55" i="1"/>
  <c r="A56" i="1"/>
  <c r="C56" i="1"/>
  <c r="E56" i="1"/>
  <c r="F56" i="1"/>
  <c r="G56" i="1"/>
  <c r="H56" i="1"/>
  <c r="I56" i="1"/>
  <c r="J56" i="1"/>
  <c r="K56" i="1"/>
  <c r="L56" i="1"/>
  <c r="A57" i="1"/>
  <c r="C57" i="1"/>
  <c r="E57" i="1"/>
  <c r="F57" i="1"/>
  <c r="G57" i="1"/>
  <c r="H57" i="1"/>
  <c r="I57" i="1"/>
  <c r="J57" i="1"/>
  <c r="K57" i="1"/>
  <c r="L57" i="1"/>
  <c r="A58" i="1"/>
  <c r="C58" i="1"/>
  <c r="E58" i="1"/>
  <c r="F58" i="1"/>
  <c r="G58" i="1"/>
  <c r="H58" i="1"/>
  <c r="I58" i="1"/>
  <c r="J58" i="1"/>
  <c r="K58" i="1"/>
  <c r="L58" i="1"/>
  <c r="A59" i="1"/>
  <c r="C59" i="1"/>
  <c r="E59" i="1"/>
  <c r="F59" i="1"/>
  <c r="G59" i="1"/>
  <c r="H59" i="1"/>
  <c r="I59" i="1"/>
  <c r="J59" i="1"/>
  <c r="K59" i="1"/>
  <c r="L59" i="1"/>
  <c r="A60" i="1"/>
  <c r="C60" i="1"/>
  <c r="E60" i="1"/>
  <c r="F60" i="1"/>
  <c r="G60" i="1"/>
  <c r="H60" i="1"/>
  <c r="I60" i="1"/>
  <c r="J60" i="1"/>
  <c r="K60" i="1"/>
  <c r="L60" i="1"/>
  <c r="A61" i="1"/>
  <c r="C61" i="1"/>
  <c r="E61" i="1"/>
  <c r="F61" i="1"/>
  <c r="G61" i="1"/>
  <c r="H61" i="1"/>
  <c r="I61" i="1"/>
  <c r="J61" i="1"/>
  <c r="K61" i="1"/>
  <c r="L61" i="1"/>
  <c r="A62" i="1"/>
  <c r="C62" i="1"/>
  <c r="E62" i="1"/>
  <c r="F62" i="1"/>
  <c r="G62" i="1"/>
  <c r="H62" i="1"/>
  <c r="I62" i="1"/>
  <c r="J62" i="1"/>
  <c r="K62" i="1"/>
  <c r="L62" i="1"/>
  <c r="A63" i="1"/>
  <c r="C63" i="1"/>
  <c r="E63" i="1"/>
  <c r="F63" i="1"/>
  <c r="G63" i="1"/>
  <c r="H63" i="1"/>
  <c r="I63" i="1"/>
  <c r="J63" i="1"/>
  <c r="K63" i="1"/>
  <c r="L63" i="1"/>
  <c r="A64" i="1"/>
  <c r="C64" i="1"/>
  <c r="E64" i="1"/>
  <c r="F64" i="1"/>
  <c r="G64" i="1"/>
  <c r="H64" i="1"/>
  <c r="I64" i="1"/>
  <c r="J64" i="1"/>
  <c r="K64" i="1"/>
  <c r="L64" i="1"/>
  <c r="A65" i="1"/>
  <c r="C65" i="1"/>
  <c r="E65" i="1"/>
  <c r="F65" i="1"/>
  <c r="G65" i="1"/>
  <c r="H65" i="1"/>
  <c r="I65" i="1"/>
  <c r="J65" i="1"/>
  <c r="K65" i="1"/>
  <c r="L65" i="1"/>
  <c r="A66" i="1"/>
  <c r="C66" i="1"/>
  <c r="E66" i="1"/>
  <c r="F66" i="1"/>
  <c r="G66" i="1"/>
  <c r="H66" i="1"/>
  <c r="I66" i="1"/>
  <c r="J66" i="1"/>
  <c r="K66" i="1"/>
  <c r="L66" i="1"/>
  <c r="A67" i="1"/>
  <c r="C67" i="1"/>
  <c r="E67" i="1"/>
  <c r="F67" i="1"/>
  <c r="G67" i="1"/>
  <c r="H67" i="1"/>
  <c r="I67" i="1"/>
  <c r="J67" i="1"/>
  <c r="K67" i="1"/>
  <c r="L67" i="1"/>
  <c r="A68" i="1"/>
  <c r="C68" i="1"/>
  <c r="E68" i="1"/>
  <c r="F68" i="1"/>
  <c r="G68" i="1"/>
  <c r="H68" i="1"/>
  <c r="I68" i="1"/>
  <c r="J68" i="1"/>
  <c r="K68" i="1"/>
  <c r="L68" i="1"/>
  <c r="A69" i="1"/>
  <c r="C69" i="1"/>
  <c r="E69" i="1"/>
  <c r="F69" i="1"/>
  <c r="G69" i="1"/>
  <c r="H69" i="1"/>
  <c r="I69" i="1"/>
  <c r="J69" i="1"/>
  <c r="K69" i="1"/>
  <c r="L69" i="1"/>
  <c r="A70" i="1"/>
  <c r="C70" i="1"/>
  <c r="E70" i="1"/>
  <c r="F70" i="1"/>
  <c r="G70" i="1"/>
  <c r="H70" i="1"/>
  <c r="I70" i="1"/>
  <c r="J70" i="1"/>
  <c r="K70" i="1"/>
  <c r="L70" i="1"/>
  <c r="A71" i="1"/>
  <c r="C71" i="1"/>
  <c r="E71" i="1"/>
  <c r="F71" i="1"/>
  <c r="G71" i="1"/>
  <c r="H71" i="1"/>
  <c r="I71" i="1"/>
  <c r="J71" i="1"/>
  <c r="K71" i="1"/>
  <c r="L71" i="1"/>
  <c r="A72" i="1"/>
  <c r="C72" i="1"/>
  <c r="E72" i="1"/>
  <c r="F72" i="1"/>
  <c r="G72" i="1"/>
  <c r="H72" i="1"/>
  <c r="I72" i="1"/>
  <c r="J72" i="1"/>
  <c r="K72" i="1"/>
  <c r="L72" i="1"/>
  <c r="A73" i="1"/>
  <c r="C73" i="1"/>
  <c r="E73" i="1"/>
  <c r="F73" i="1"/>
  <c r="G73" i="1"/>
  <c r="H73" i="1"/>
  <c r="I73" i="1"/>
  <c r="J73" i="1"/>
  <c r="K73" i="1"/>
  <c r="L73" i="1"/>
  <c r="A74" i="1"/>
  <c r="C74" i="1"/>
  <c r="E74" i="1"/>
  <c r="F74" i="1"/>
  <c r="G74" i="1"/>
  <c r="H74" i="1"/>
  <c r="I74" i="1"/>
  <c r="J74" i="1"/>
  <c r="K74" i="1"/>
  <c r="L74" i="1"/>
  <c r="A75" i="1"/>
  <c r="C75" i="1"/>
  <c r="E75" i="1"/>
  <c r="F75" i="1"/>
  <c r="G75" i="1"/>
  <c r="H75" i="1"/>
  <c r="I75" i="1"/>
  <c r="J75" i="1"/>
  <c r="K75" i="1"/>
  <c r="L75" i="1"/>
  <c r="A76" i="1"/>
  <c r="C76" i="1"/>
  <c r="E76" i="1"/>
  <c r="F76" i="1"/>
  <c r="G76" i="1"/>
  <c r="H76" i="1"/>
  <c r="I76" i="1"/>
  <c r="J76" i="1"/>
  <c r="K76" i="1"/>
  <c r="L76" i="1"/>
  <c r="A77" i="1"/>
  <c r="C77" i="1"/>
  <c r="E77" i="1"/>
  <c r="F77" i="1"/>
  <c r="G77" i="1"/>
  <c r="H77" i="1"/>
  <c r="I77" i="1"/>
  <c r="J77" i="1"/>
  <c r="K77" i="1"/>
  <c r="L77" i="1"/>
  <c r="A78" i="1"/>
  <c r="C78" i="1"/>
  <c r="E78" i="1"/>
  <c r="F78" i="1"/>
  <c r="G78" i="1"/>
  <c r="H78" i="1"/>
  <c r="I78" i="1"/>
  <c r="J78" i="1"/>
  <c r="K78" i="1"/>
  <c r="L78" i="1"/>
  <c r="A79" i="1"/>
  <c r="C79" i="1"/>
  <c r="E79" i="1"/>
  <c r="F79" i="1"/>
  <c r="G79" i="1"/>
  <c r="H79" i="1"/>
  <c r="I79" i="1"/>
  <c r="J79" i="1"/>
  <c r="K79" i="1"/>
  <c r="L79" i="1"/>
  <c r="A80" i="1"/>
  <c r="C80" i="1"/>
  <c r="E80" i="1"/>
  <c r="F80" i="1"/>
  <c r="G80" i="1"/>
  <c r="H80" i="1"/>
  <c r="I80" i="1"/>
  <c r="J80" i="1"/>
  <c r="K80" i="1"/>
  <c r="L80" i="1"/>
  <c r="A81" i="1"/>
  <c r="C81" i="1"/>
  <c r="E81" i="1"/>
  <c r="F81" i="1"/>
  <c r="G81" i="1"/>
  <c r="H81" i="1"/>
  <c r="I81" i="1"/>
  <c r="J81" i="1"/>
  <c r="K81" i="1"/>
  <c r="L81" i="1"/>
  <c r="A82" i="1"/>
  <c r="C82" i="1"/>
  <c r="E82" i="1"/>
  <c r="F82" i="1"/>
  <c r="G82" i="1"/>
  <c r="H82" i="1"/>
  <c r="I82" i="1"/>
  <c r="J82" i="1"/>
  <c r="K82" i="1"/>
  <c r="L82" i="1"/>
  <c r="A83" i="1"/>
  <c r="C83" i="1"/>
  <c r="E83" i="1"/>
  <c r="F83" i="1"/>
  <c r="G83" i="1"/>
  <c r="H83" i="1"/>
  <c r="I83" i="1"/>
  <c r="J83" i="1"/>
  <c r="K83" i="1"/>
  <c r="L83" i="1"/>
  <c r="A84" i="1"/>
  <c r="C84" i="1"/>
  <c r="E84" i="1"/>
  <c r="F84" i="1"/>
  <c r="G84" i="1"/>
  <c r="H84" i="1"/>
  <c r="I84" i="1"/>
  <c r="J84" i="1"/>
  <c r="K84" i="1"/>
  <c r="L84" i="1"/>
  <c r="A85" i="1"/>
  <c r="C85" i="1"/>
  <c r="E85" i="1"/>
  <c r="F85" i="1"/>
  <c r="G85" i="1"/>
  <c r="H85" i="1"/>
  <c r="I85" i="1"/>
  <c r="J85" i="1"/>
  <c r="K85" i="1"/>
  <c r="L85" i="1"/>
  <c r="A86" i="1"/>
  <c r="C86" i="1"/>
  <c r="E86" i="1"/>
  <c r="F86" i="1"/>
  <c r="G86" i="1"/>
  <c r="H86" i="1"/>
  <c r="I86" i="1"/>
  <c r="J86" i="1"/>
  <c r="K86" i="1"/>
  <c r="L86" i="1"/>
  <c r="A87" i="1"/>
  <c r="C87" i="1"/>
  <c r="E87" i="1"/>
  <c r="F87" i="1"/>
  <c r="G87" i="1"/>
  <c r="H87" i="1"/>
  <c r="I87" i="1"/>
  <c r="J87" i="1"/>
  <c r="K87" i="1"/>
  <c r="L87" i="1"/>
  <c r="A88" i="1"/>
  <c r="C88" i="1"/>
  <c r="E88" i="1"/>
  <c r="F88" i="1"/>
  <c r="G88" i="1"/>
  <c r="H88" i="1"/>
  <c r="I88" i="1"/>
  <c r="J88" i="1"/>
  <c r="K88" i="1"/>
  <c r="L88" i="1"/>
  <c r="A89" i="1"/>
  <c r="C89" i="1"/>
  <c r="E89" i="1"/>
  <c r="F89" i="1"/>
  <c r="G89" i="1"/>
  <c r="H89" i="1"/>
  <c r="I89" i="1"/>
  <c r="J89" i="1"/>
  <c r="K89" i="1"/>
  <c r="L89" i="1"/>
  <c r="A90" i="1"/>
  <c r="C90" i="1"/>
  <c r="E90" i="1"/>
  <c r="F90" i="1"/>
  <c r="G90" i="1"/>
  <c r="H90" i="1"/>
  <c r="I90" i="1"/>
  <c r="J90" i="1"/>
  <c r="K90" i="1"/>
  <c r="L90" i="1"/>
  <c r="A91" i="1"/>
  <c r="C91" i="1"/>
  <c r="E91" i="1"/>
  <c r="F91" i="1"/>
  <c r="G91" i="1"/>
  <c r="H91" i="1"/>
  <c r="I91" i="1"/>
  <c r="J91" i="1"/>
  <c r="K91" i="1"/>
  <c r="L91" i="1"/>
  <c r="A92" i="1"/>
  <c r="C92" i="1"/>
  <c r="E92" i="1"/>
  <c r="F92" i="1"/>
  <c r="G92" i="1"/>
  <c r="H92" i="1"/>
  <c r="I92" i="1"/>
  <c r="J92" i="1"/>
  <c r="K92" i="1"/>
  <c r="L92" i="1"/>
  <c r="A93" i="1"/>
  <c r="C93" i="1"/>
  <c r="E93" i="1"/>
  <c r="F93" i="1"/>
  <c r="G93" i="1"/>
  <c r="H93" i="1"/>
  <c r="I93" i="1"/>
  <c r="J93" i="1"/>
  <c r="K93" i="1"/>
  <c r="L93" i="1"/>
  <c r="A94" i="1"/>
  <c r="C94" i="1"/>
  <c r="E94" i="1"/>
  <c r="F94" i="1"/>
  <c r="G94" i="1"/>
  <c r="H94" i="1"/>
  <c r="I94" i="1"/>
  <c r="J94" i="1"/>
  <c r="K94" i="1"/>
  <c r="L94" i="1"/>
  <c r="A95" i="1"/>
  <c r="C95" i="1"/>
  <c r="E95" i="1"/>
  <c r="F95" i="1"/>
  <c r="G95" i="1"/>
  <c r="H95" i="1"/>
  <c r="I95" i="1"/>
  <c r="J95" i="1"/>
  <c r="K95" i="1"/>
  <c r="L95" i="1"/>
  <c r="A96" i="1"/>
  <c r="C96" i="1"/>
  <c r="E96" i="1"/>
  <c r="F96" i="1"/>
  <c r="G96" i="1"/>
  <c r="H96" i="1"/>
  <c r="I96" i="1"/>
  <c r="J96" i="1"/>
  <c r="K96" i="1"/>
  <c r="L96" i="1"/>
  <c r="A97" i="1"/>
  <c r="C97" i="1"/>
  <c r="E97" i="1"/>
  <c r="F97" i="1"/>
  <c r="G97" i="1"/>
  <c r="H97" i="1"/>
  <c r="I97" i="1"/>
  <c r="J97" i="1"/>
  <c r="K97" i="1"/>
  <c r="L97" i="1"/>
  <c r="A98" i="1"/>
  <c r="C98" i="1"/>
  <c r="E98" i="1"/>
  <c r="F98" i="1"/>
  <c r="G98" i="1"/>
  <c r="H98" i="1"/>
  <c r="I98" i="1"/>
  <c r="J98" i="1"/>
  <c r="K98" i="1"/>
  <c r="L98" i="1"/>
  <c r="A99" i="1"/>
  <c r="C99" i="1"/>
  <c r="E99" i="1"/>
  <c r="F99" i="1"/>
  <c r="G99" i="1"/>
  <c r="H99" i="1"/>
  <c r="I99" i="1"/>
  <c r="J99" i="1"/>
  <c r="K99" i="1"/>
  <c r="L99" i="1"/>
  <c r="A100" i="1"/>
  <c r="C100" i="1"/>
  <c r="E100" i="1"/>
  <c r="F100" i="1"/>
  <c r="G100" i="1"/>
  <c r="H100" i="1"/>
  <c r="I100" i="1"/>
  <c r="J100" i="1"/>
  <c r="K100" i="1"/>
  <c r="L100" i="1"/>
  <c r="A101" i="1"/>
  <c r="C101" i="1"/>
  <c r="E101" i="1"/>
  <c r="F101" i="1"/>
  <c r="G101" i="1"/>
  <c r="H101" i="1"/>
  <c r="I101" i="1"/>
  <c r="J101" i="1"/>
  <c r="K101" i="1"/>
  <c r="L101" i="1"/>
  <c r="A102" i="1"/>
  <c r="C102" i="1"/>
  <c r="E102" i="1"/>
  <c r="F102" i="1"/>
  <c r="G102" i="1"/>
  <c r="H102" i="1"/>
  <c r="I102" i="1"/>
  <c r="J102" i="1"/>
  <c r="K102" i="1"/>
  <c r="L102" i="1"/>
  <c r="A103" i="1"/>
  <c r="C103" i="1"/>
  <c r="E103" i="1"/>
  <c r="F103" i="1"/>
  <c r="G103" i="1"/>
  <c r="H103" i="1"/>
  <c r="I103" i="1"/>
  <c r="J103" i="1"/>
  <c r="K103" i="1"/>
  <c r="L103" i="1"/>
  <c r="A104" i="1"/>
  <c r="C104" i="1"/>
  <c r="E104" i="1"/>
  <c r="F104" i="1"/>
  <c r="G104" i="1"/>
  <c r="H104" i="1"/>
  <c r="I104" i="1"/>
  <c r="J104" i="1"/>
  <c r="K104" i="1"/>
  <c r="L104" i="1"/>
  <c r="A105" i="1"/>
  <c r="C105" i="1"/>
  <c r="E105" i="1"/>
  <c r="F105" i="1"/>
  <c r="G105" i="1"/>
  <c r="H105" i="1"/>
  <c r="I105" i="1"/>
  <c r="J105" i="1"/>
  <c r="K105" i="1"/>
  <c r="L105" i="1"/>
  <c r="A106" i="1"/>
  <c r="C106" i="1"/>
  <c r="E106" i="1"/>
  <c r="F106" i="1"/>
  <c r="G106" i="1"/>
  <c r="H106" i="1"/>
  <c r="I106" i="1"/>
  <c r="J106" i="1"/>
  <c r="K106" i="1"/>
  <c r="L106" i="1"/>
  <c r="A107" i="1"/>
  <c r="C107" i="1"/>
  <c r="E107" i="1"/>
  <c r="F107" i="1"/>
  <c r="G107" i="1"/>
  <c r="H107" i="1"/>
  <c r="I107" i="1"/>
  <c r="J107" i="1"/>
  <c r="K107" i="1"/>
  <c r="L107" i="1"/>
  <c r="A108" i="1"/>
  <c r="C108" i="1"/>
  <c r="E108" i="1"/>
  <c r="F108" i="1"/>
  <c r="G108" i="1"/>
  <c r="H108" i="1"/>
  <c r="I108" i="1"/>
  <c r="J108" i="1"/>
  <c r="K108" i="1"/>
  <c r="L108" i="1"/>
  <c r="A109" i="1"/>
  <c r="C109" i="1"/>
  <c r="E109" i="1"/>
  <c r="F109" i="1"/>
  <c r="G109" i="1"/>
  <c r="H109" i="1"/>
  <c r="I109" i="1"/>
  <c r="J109" i="1"/>
  <c r="K109" i="1"/>
  <c r="L109" i="1"/>
  <c r="A110" i="1"/>
  <c r="C110" i="1"/>
  <c r="E110" i="1"/>
  <c r="F110" i="1"/>
  <c r="G110" i="1"/>
  <c r="H110" i="1"/>
  <c r="I110" i="1"/>
  <c r="J110" i="1"/>
  <c r="K110" i="1"/>
  <c r="L110" i="1"/>
  <c r="A111" i="1"/>
  <c r="C111" i="1"/>
  <c r="E111" i="1"/>
  <c r="F111" i="1"/>
  <c r="G111" i="1"/>
  <c r="H111" i="1"/>
  <c r="I111" i="1"/>
  <c r="J111" i="1"/>
  <c r="K111" i="1"/>
  <c r="L111" i="1"/>
  <c r="A112" i="1"/>
  <c r="C112" i="1"/>
  <c r="E112" i="1"/>
  <c r="F112" i="1"/>
  <c r="G112" i="1"/>
  <c r="H112" i="1"/>
  <c r="I112" i="1"/>
  <c r="J112" i="1"/>
  <c r="K112" i="1"/>
  <c r="L112" i="1"/>
  <c r="A113" i="1"/>
  <c r="C113" i="1"/>
  <c r="E113" i="1"/>
  <c r="F113" i="1"/>
  <c r="G113" i="1"/>
  <c r="H113" i="1"/>
  <c r="I113" i="1"/>
  <c r="J113" i="1"/>
  <c r="K113" i="1"/>
  <c r="L113" i="1"/>
  <c r="A114" i="1"/>
  <c r="C114" i="1"/>
  <c r="E114" i="1"/>
  <c r="F114" i="1"/>
  <c r="G114" i="1"/>
  <c r="H114" i="1"/>
  <c r="I114" i="1"/>
  <c r="J114" i="1"/>
  <c r="K114" i="1"/>
  <c r="L114" i="1"/>
  <c r="A115" i="1"/>
  <c r="C115" i="1"/>
  <c r="E115" i="1"/>
  <c r="F115" i="1"/>
  <c r="G115" i="1"/>
  <c r="H115" i="1"/>
  <c r="I115" i="1"/>
  <c r="J115" i="1"/>
  <c r="K115" i="1"/>
  <c r="L115" i="1"/>
</calcChain>
</file>

<file path=xl/sharedStrings.xml><?xml version="1.0" encoding="utf-8"?>
<sst xmlns="http://schemas.openxmlformats.org/spreadsheetml/2006/main" count="149" uniqueCount="136">
  <si>
    <t>Item Number</t>
  </si>
  <si>
    <t>Description</t>
  </si>
  <si>
    <t>Quantity</t>
  </si>
  <si>
    <t>Unit Cost</t>
  </si>
  <si>
    <t>Manufacturer</t>
  </si>
  <si>
    <t>SKU</t>
  </si>
  <si>
    <t xml:space="preserve">Atlas Ultra-Lubed Case of 1000  | SKU: 10000C </t>
  </si>
  <si>
    <t xml:space="preserve">Atlas Colors Case of 1000 | SKU: 10100C </t>
  </si>
  <si>
    <t xml:space="preserve">Atlas Ultra-Thin Case of 1000 | SKU: 10200C </t>
  </si>
  <si>
    <t xml:space="preserve">Atlas Studded Case of 1000 | SKU: 10300C </t>
  </si>
  <si>
    <t xml:space="preserve">Atlas Extra Large Case of 1000  | SKU: 10400C </t>
  </si>
  <si>
    <t xml:space="preserve">Atlas True Fit Case of 1000  | SKU: 10500C </t>
  </si>
  <si>
    <t>Atlas Non-Lubricated Case of 1000 | SKU: 10600C</t>
  </si>
  <si>
    <t xml:space="preserve">Atlas Black Case of 1000 | SKU: 10700C </t>
  </si>
  <si>
    <t>ONE Classic Select Contest Collection Case of 1000 | SKU: 11000C</t>
  </si>
  <si>
    <t>ONE Classic Select Urban Collection Case of 1000 | SKU: 11000CW</t>
  </si>
  <si>
    <t>ONE Classic Select MSM Collection Case of 1000 | SKU: 11000CY</t>
  </si>
  <si>
    <t>ONE Classic Select Artist Collection Case of 1000 | SKU: 11000CZ</t>
  </si>
  <si>
    <t>ONE Popular Mix Sampler Case of 500 | SKU: 11010C-A</t>
  </si>
  <si>
    <t>ONE Sensitive Mix Sampler Case of 500 | SKU: 11010C-B</t>
  </si>
  <si>
    <t>ONE Fun Mix Sampler Case of 500  | SKU: 11010C-C</t>
  </si>
  <si>
    <t>ONE FlavorWaves Case of 1000 | SKU: 110200C</t>
  </si>
  <si>
    <t>ONE Color Sensations Case of 1000 | SKU: 11100C</t>
  </si>
  <si>
    <t>ONE VANISH Hyperthin Case of 1000 | SKU: 111300C</t>
  </si>
  <si>
    <t>ONE Super Studs Case of 1000 | SKU: 111700C</t>
  </si>
  <si>
    <t>ONE Tattoo Touch Case of 1000 | SKU: 112000C</t>
  </si>
  <si>
    <t xml:space="preserve">ONE Pleasure Dome Contest Collection Case of 1000 | SKU: 11200C </t>
  </si>
  <si>
    <t>ONE Legend XL Case of 1000  | SKU: 11400C</t>
  </si>
  <si>
    <t>ONE Glowing Pleasures Case of 500 | SKU: 11500C</t>
  </si>
  <si>
    <t xml:space="preserve">ONE Super Sensitive Case of 1000 | SKU: 11600C </t>
  </si>
  <si>
    <t>Night Light Glow-in-the-Dark Condom Case 500 | SKU: 12000C</t>
  </si>
  <si>
    <t xml:space="preserve">ONE Pleasure Plus Case of 500 | SKU: 14000C1 </t>
  </si>
  <si>
    <t>Global Premium Condom Sampler Bowl 144 | SKU: BBU</t>
  </si>
  <si>
    <t>Fantasy Lubricated Case of 1000 | SKU: L6808C</t>
  </si>
  <si>
    <t xml:space="preserve">Fantasy Assorted Flavors Case of 1000  | SKU: L6818C </t>
  </si>
  <si>
    <t>Fantasy Assorted Colors Case of 1000  | SKU: L6828C</t>
  </si>
  <si>
    <t xml:space="preserve">Trustex Assorted Flavors Case of 1000  | SKU: L8050C </t>
  </si>
  <si>
    <t>Trustex?Assorted Flavors Non-Lubricated Case of 1000 | SKU: L8750C</t>
  </si>
  <si>
    <t xml:space="preserve">Trustex Natural Condom/Lube Combo Case of 1000  | SKU: L8823LC </t>
  </si>
  <si>
    <t xml:space="preserve">Trustex Natural Lubricated Case of 1000  | SKU: L8826NC </t>
  </si>
  <si>
    <t xml:space="preserve">Trustex Assorted Colors Condom/Lube Combo Case of 1000 | SKU: L8828LC </t>
  </si>
  <si>
    <t>Trustex Assorted Colors Non-Lubricated Case of 1000 | SKU: L8829AC</t>
  </si>
  <si>
    <t xml:space="preserve">Trustex Assorted Colors Case of 1000  | SKU: L8833AC </t>
  </si>
  <si>
    <t>Trustex Ribbed  Studded Case of 1000  | SKU: L8835C</t>
  </si>
  <si>
    <t xml:space="preserve">Trustex Extra Strength Case of 1000 | SKU: L8901C </t>
  </si>
  <si>
    <t xml:space="preserve">Trustex Extra Large Case of 1000  | SKU: L8905C </t>
  </si>
  <si>
    <t>Trustex Extra Large Assorted Colors Case of 1000 | SKU: L8907C</t>
  </si>
  <si>
    <t>N?Vo Snugger Fit Case of 1000 | SKU: NV1001C</t>
  </si>
  <si>
    <t>N?Vo Extra Strong Case of 1000 | SKU: NV201C</t>
  </si>
  <si>
    <t>N?Vo Ultrathin Case of 1000 | SKU: NV301C</t>
  </si>
  <si>
    <t>N?Vo Assorted Colors Case of 1000 | SKU: NV4001C</t>
  </si>
  <si>
    <t>N?Vo Extra Large Case of 1000 | SKU: NV401C</t>
  </si>
  <si>
    <t>N?Vo Ribbed  Studded Case of 1000 | SKU: NV5001C</t>
  </si>
  <si>
    <t>N?Vo Assorted Flavors Case of 1000 | SKU: NV501C</t>
  </si>
  <si>
    <t>N?Vo Ultrasensitive Case of 1000 | SKU: NV601C</t>
  </si>
  <si>
    <t>N?Vo Studded Case of 1000 | SKU: NV701C</t>
  </si>
  <si>
    <t>N?Vo Ribbed Case of 1000 | SKU: NV801C</t>
  </si>
  <si>
    <t>N?Vo Extra Lubricated Case of 1000 | SKU: NV901C</t>
  </si>
  <si>
    <t>Trojan ENZ Case of 1000  | SKU: TEBULK</t>
  </si>
  <si>
    <t>Trojan Magnum Case of 1000  | SKU: TMBULK</t>
  </si>
  <si>
    <t xml:space="preserve">Atlas Safer Sex Kit Box of 150 | SKU: 10SAM01 </t>
  </si>
  <si>
    <t>ONE Safer Sex Kit Box of 150 | SKU: 11SAM01</t>
  </si>
  <si>
    <t xml:space="preserve">Red Gel Condom Demonstrator | SKU: L5181 </t>
  </si>
  <si>
    <t>Blue Gel Condom Demonstrator | SKU: L5182</t>
  </si>
  <si>
    <t xml:space="preserve">Purple Gel Condom Demonstrator | SKU: L5183 </t>
  </si>
  <si>
    <t xml:space="preserve">Pink Gel Condom Demonstrator | SKU: L5184 </t>
  </si>
  <si>
    <t xml:space="preserve">Laminated Male Reproductive Anatomy Chart  | SKU: VR1528L </t>
  </si>
  <si>
    <t xml:space="preserve">Laminated Female Genital Organs Chart  | SKU: VR1532L </t>
  </si>
  <si>
    <t>Laminated Birth Control Chart | SKU: VR1591L</t>
  </si>
  <si>
    <t xml:space="preserve">Laminated HIV and AIDS Chart  | SKU: VR1725L </t>
  </si>
  <si>
    <t>ONE Pride Pack Case of 12 | SKU: 11PRIDEKIT-C</t>
  </si>
  <si>
    <t>ONE Oasis Water-based Lubricant 3ml Case of 500 | SKU: 11L100C</t>
  </si>
  <si>
    <t>ONE?Oasis Water-based Lubricant 4.5g Case of 1000 | SKU: 11L102C</t>
  </si>
  <si>
    <t>ONE?Move Silicone Lubricant 3ml Case of 500 | SKU: 11L200C</t>
  </si>
  <si>
    <t>ONE?Oasis Silk Hybrid Lubricant 3ml Case of 1000 | SKU: 11L400C</t>
  </si>
  <si>
    <t>Good Clean Love Almost Naked Organic Personal Lubricant 5ml Case of 500  | SKU: GCL200103</t>
  </si>
  <si>
    <t>Trustex Assorted Flavors Water-based Lubricant 6ml Case of 1000  | SKU: L5500C</t>
  </si>
  <si>
    <t>Satin Assorted Flavored Latex Dams (6inchx10inch) Box of 100  | SKU: LGDMXU</t>
  </si>
  <si>
    <t>Satin Unflavored Latex Dams (6inchx10inch) Box of 100  | SKU: LGDUU</t>
  </si>
  <si>
    <t xml:space="preserve">Ziplock 3x5 Clear Bags Pack of 100  | SKU: 020305U </t>
  </si>
  <si>
    <t xml:space="preserve">Ziplock 4x7 Clear Bags Pack of 100  | SKU: 020407U </t>
  </si>
  <si>
    <t>Small 14inch Condom  Lubricant Dispenser | SKU: BD01</t>
  </si>
  <si>
    <t>Large 20inch Condom  Lubricant Dispenser | SKU: BD02</t>
  </si>
  <si>
    <t>Large 20inch Dual Condom  Lubricant Dispenser | SKU: BD03</t>
  </si>
  <si>
    <t xml:space="preserve">Latex Finger Cots Pack of 144  | SKU: R301U </t>
  </si>
  <si>
    <t>LifeStyles Ultra Sensitive | SKU: A5400C</t>
  </si>
  <si>
    <t>LifeStyles Ultra Lubricated   | SKU: A5800C</t>
  </si>
  <si>
    <t>LifeStyles Non-Latex   | SKU: A7800C</t>
  </si>
  <si>
    <t>LifeStyles Non-Latex  | SKU: A7800U</t>
  </si>
  <si>
    <t>LifeStyles Ultra-Thin | SKU: A6400C</t>
  </si>
  <si>
    <t>LifeStyles KYNG Extra Large | SKU: A9800C</t>
  </si>
  <si>
    <t>ONE Classic Select Contest Collection  | SKU: 11000B</t>
  </si>
  <si>
    <t>ONE Classic Select?Urban Collection | SKU: 11000BW</t>
  </si>
  <si>
    <t>ONE Classic Select MSM Collection  | SKU: 11000BY</t>
  </si>
  <si>
    <t>ONE Classic Select Artist Collection | SKU: 11000BZ</t>
  </si>
  <si>
    <t>ONE Super Sensitive Contest Collection  | SKU: 11600B</t>
  </si>
  <si>
    <t>ONE FlavorWaves | SKU: 110200B</t>
  </si>
  <si>
    <t>ONE VANISH Hyperthin   | SKU: 111300B</t>
  </si>
  <si>
    <t>ONE Mixed Pleasures   | SKU: 11010B</t>
  </si>
  <si>
    <t xml:space="preserve"> ONE Color Sensations  | SKU: 11100B</t>
  </si>
  <si>
    <t>ONE Pleasure Dome | SKU: 11200B</t>
  </si>
  <si>
    <t>ONE Legend Contest Collection | SKU: 11400B</t>
  </si>
  <si>
    <t>ONE Glowing Pleasures  | SKU: 11500B</t>
  </si>
  <si>
    <t>ONE Pleasure Plus   | SKU: 14000B</t>
  </si>
  <si>
    <t>ONE Legend Urban Collection | SKU: 112100C</t>
  </si>
  <si>
    <t>Kimono Thin | SKU: M11000C</t>
  </si>
  <si>
    <t>Kimono Special | SKU: M11001C</t>
  </si>
  <si>
    <t>Kimono Microthin | SKU: M5014C</t>
  </si>
  <si>
    <t>Kimono Maxx | SKU: M2014C</t>
  </si>
  <si>
    <t>Assortment Bulk Condom Sampler | SKU: BS01C</t>
  </si>
  <si>
    <t>Assortment Bulk Condom Sampler ??Extra Large Condoms | SKU: BS02C</t>
  </si>
  <si>
    <t>LifeStyles Personal Lubricant | SKU: A7000C</t>
  </si>
  <si>
    <t>Aqua Lube 3ml foil sachet  | SKU: M510253U</t>
  </si>
  <si>
    <t>STI Symptoms  Treatments ??Educational Pamphlets | SKU: 11E01U</t>
  </si>
  <si>
    <t>STI Prevention Guide ??Educational Pamphlets | SKU: 11E02U</t>
  </si>
  <si>
    <t>HIV/AIDS Awareness ??Educational Pamphlets | SKU: 11E03U</t>
  </si>
  <si>
    <t>Penis Health Awareness ??Educational Pamphlets | SKU: 11E05U</t>
  </si>
  <si>
    <t>Seniors and Sex ??Educational Pamphlets | SKU: 11E06U</t>
  </si>
  <si>
    <t>FC2 Female Condom®, Pack of 100 | SKU: FC2U</t>
  </si>
  <si>
    <t>Veru Inc.</t>
  </si>
  <si>
    <t>FC2U</t>
  </si>
  <si>
    <t>Pack</t>
  </si>
  <si>
    <t>Regular Size</t>
  </si>
  <si>
    <t>FC2 Female Condom®, Case of 500 | SKU: FC2C-A</t>
  </si>
  <si>
    <t>FC2C-A</t>
  </si>
  <si>
    <t>Case</t>
  </si>
  <si>
    <t>FC2 Female Condom®, Case of 1000 | SKU: FC2C</t>
  </si>
  <si>
    <t>FC2C</t>
  </si>
  <si>
    <t>Pack Size</t>
  </si>
  <si>
    <t>Unit</t>
  </si>
  <si>
    <t xml:space="preserve">Quantity </t>
  </si>
  <si>
    <t>Product Category</t>
  </si>
  <si>
    <t>Product Information</t>
  </si>
  <si>
    <t>Manufacturer Part Number</t>
  </si>
  <si>
    <t>MMCAP Infuse Agreement MMS18015 - Attachment A</t>
  </si>
  <si>
    <t>Effective Date April 26,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</si>
</sst>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Georgi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0" fillId="0" borderId="10" xfId="0" applyBorder="1"/>
    <xf numFmtId="164" fontId="0" fillId="0" borderId="10" xfId="42" applyNumberFormat="1" applyFont="1" applyBorder="1" applyAlignment="1">
      <alignment horizontal="center" vertical="center"/>
    </xf>
    <xf numFmtId="165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6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left"/>
    </xf>
    <xf numFmtId="0" fontId="18" fillId="33" borderId="11" xfId="0" applyFont="1" applyFill="1" applyBorder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8"/>
  <sheetViews>
    <sheetView showGridLines="0" tabSelected="1" zoomScale="85" zoomScaleNormal="85" workbookViewId="0">
      <pane ySplit="3" topLeftCell="A4" activePane="bottomLeft" state="frozen"/>
      <selection pane="bottomLeft" sqref="A1:L1"/>
    </sheetView>
  </sheetViews>
  <sheetFormatPr defaultRowHeight="14.5" x14ac:dyDescent="0.35"/>
  <cols>
    <col min="1" max="1" width="12.81640625" customWidth="1"/>
    <col min="2" max="2" width="65.81640625" customWidth="1"/>
    <col min="4" max="4" width="9.1796875" style="2"/>
    <col min="5" max="5" width="22" bestFit="1" customWidth="1"/>
    <col min="6" max="6" width="17.453125" style="1" customWidth="1"/>
    <col min="8" max="8" width="20.453125" bestFit="1" customWidth="1"/>
    <col min="10" max="10" width="20.453125" style="1" bestFit="1" customWidth="1"/>
    <col min="11" max="11" width="10.26953125" style="1" customWidth="1"/>
  </cols>
  <sheetData>
    <row r="1" spans="1:12" ht="15.5" x14ac:dyDescent="0.35">
      <c r="A1" s="11" t="s">
        <v>134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 x14ac:dyDescent="0.35">
      <c r="A2" s="10" t="s">
        <v>135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33.75" customHeigh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9" t="s">
        <v>133</v>
      </c>
      <c r="G3" s="3" t="s">
        <v>128</v>
      </c>
      <c r="H3" s="3" t="s">
        <v>132</v>
      </c>
      <c r="I3" s="3" t="s">
        <v>5</v>
      </c>
      <c r="J3" s="3" t="s">
        <v>131</v>
      </c>
      <c r="K3" s="3" t="s">
        <v>130</v>
      </c>
      <c r="L3" s="3" t="s">
        <v>129</v>
      </c>
    </row>
    <row r="4" spans="1:12" x14ac:dyDescent="0.35">
      <c r="A4" s="4" t="str">
        <f>"1"</f>
        <v>1</v>
      </c>
      <c r="B4" s="4" t="s">
        <v>6</v>
      </c>
      <c r="C4" s="4" t="str">
        <f t="shared" ref="C4:C35" si="0">"1.0"</f>
        <v>1.0</v>
      </c>
      <c r="D4" s="5">
        <v>48</v>
      </c>
      <c r="E4" s="4" t="str">
        <f t="shared" ref="E4:E35" si="1">"Global Protection Corp."</f>
        <v>Global Protection Corp.</v>
      </c>
      <c r="F4" s="8" t="str">
        <f>"10000C "</f>
        <v xml:space="preserve">10000C </v>
      </c>
      <c r="G4" s="4" t="str">
        <f t="shared" ref="G4:G29" si="2">"Case"</f>
        <v>Case</v>
      </c>
      <c r="H4" s="4" t="str">
        <f>"Regular Size"</f>
        <v>Regular Size</v>
      </c>
      <c r="I4" s="4" t="str">
        <f>"10000C "</f>
        <v xml:space="preserve">10000C </v>
      </c>
      <c r="J4" s="8" t="str">
        <f>"Regular Size"</f>
        <v>Regular Size</v>
      </c>
      <c r="K4" s="8" t="str">
        <f t="shared" ref="K4:K15" si="3">"1000"</f>
        <v>1000</v>
      </c>
      <c r="L4" s="4" t="str">
        <f t="shared" ref="L4:L29" si="4">"Case"</f>
        <v>Case</v>
      </c>
    </row>
    <row r="5" spans="1:12" x14ac:dyDescent="0.35">
      <c r="A5" s="4" t="str">
        <f>"2"</f>
        <v>2</v>
      </c>
      <c r="B5" s="4" t="s">
        <v>7</v>
      </c>
      <c r="C5" s="4" t="str">
        <f t="shared" si="0"/>
        <v>1.0</v>
      </c>
      <c r="D5" s="5">
        <v>54</v>
      </c>
      <c r="E5" s="4" t="str">
        <f t="shared" si="1"/>
        <v>Global Protection Corp.</v>
      </c>
      <c r="F5" s="8" t="str">
        <f>"10100C "</f>
        <v xml:space="preserve">10100C </v>
      </c>
      <c r="G5" s="4" t="str">
        <f t="shared" si="2"/>
        <v>Case</v>
      </c>
      <c r="H5" s="4" t="str">
        <f>"Regular Size"</f>
        <v>Regular Size</v>
      </c>
      <c r="I5" s="4" t="str">
        <f>"10100C "</f>
        <v xml:space="preserve">10100C </v>
      </c>
      <c r="J5" s="8" t="str">
        <f>"Regular Size"</f>
        <v>Regular Size</v>
      </c>
      <c r="K5" s="8" t="str">
        <f t="shared" si="3"/>
        <v>1000</v>
      </c>
      <c r="L5" s="4" t="str">
        <f t="shared" si="4"/>
        <v>Case</v>
      </c>
    </row>
    <row r="6" spans="1:12" x14ac:dyDescent="0.35">
      <c r="A6" s="4" t="str">
        <f>"3"</f>
        <v>3</v>
      </c>
      <c r="B6" s="4" t="s">
        <v>8</v>
      </c>
      <c r="C6" s="4" t="str">
        <f t="shared" si="0"/>
        <v>1.0</v>
      </c>
      <c r="D6" s="5">
        <v>54</v>
      </c>
      <c r="E6" s="4" t="str">
        <f t="shared" si="1"/>
        <v>Global Protection Corp.</v>
      </c>
      <c r="F6" s="8" t="str">
        <f>"10200C "</f>
        <v xml:space="preserve">10200C </v>
      </c>
      <c r="G6" s="4" t="str">
        <f t="shared" si="2"/>
        <v>Case</v>
      </c>
      <c r="H6" s="4" t="str">
        <f>"Regular Size"</f>
        <v>Regular Size</v>
      </c>
      <c r="I6" s="4" t="str">
        <f>"10200C "</f>
        <v xml:space="preserve">10200C </v>
      </c>
      <c r="J6" s="8" t="str">
        <f>"Regular Size"</f>
        <v>Regular Size</v>
      </c>
      <c r="K6" s="8" t="str">
        <f t="shared" si="3"/>
        <v>1000</v>
      </c>
      <c r="L6" s="4" t="str">
        <f t="shared" si="4"/>
        <v>Case</v>
      </c>
    </row>
    <row r="7" spans="1:12" x14ac:dyDescent="0.35">
      <c r="A7" s="4" t="str">
        <f>"4"</f>
        <v>4</v>
      </c>
      <c r="B7" s="4" t="s">
        <v>9</v>
      </c>
      <c r="C7" s="4" t="str">
        <f t="shared" si="0"/>
        <v>1.0</v>
      </c>
      <c r="D7" s="5">
        <v>54</v>
      </c>
      <c r="E7" s="4" t="str">
        <f t="shared" si="1"/>
        <v>Global Protection Corp.</v>
      </c>
      <c r="F7" s="8" t="str">
        <f>"10300C "</f>
        <v xml:space="preserve">10300C </v>
      </c>
      <c r="G7" s="4" t="str">
        <f t="shared" si="2"/>
        <v>Case</v>
      </c>
      <c r="H7" s="4" t="str">
        <f>"Regular Size"</f>
        <v>Regular Size</v>
      </c>
      <c r="I7" s="4" t="str">
        <f>"10300C "</f>
        <v xml:space="preserve">10300C </v>
      </c>
      <c r="J7" s="8" t="str">
        <f>"Regular Size"</f>
        <v>Regular Size</v>
      </c>
      <c r="K7" s="8" t="str">
        <f t="shared" si="3"/>
        <v>1000</v>
      </c>
      <c r="L7" s="4" t="str">
        <f t="shared" si="4"/>
        <v>Case</v>
      </c>
    </row>
    <row r="8" spans="1:12" x14ac:dyDescent="0.35">
      <c r="A8" s="4" t="str">
        <f>"5"</f>
        <v>5</v>
      </c>
      <c r="B8" s="4" t="s">
        <v>10</v>
      </c>
      <c r="C8" s="4" t="str">
        <f t="shared" si="0"/>
        <v>1.0</v>
      </c>
      <c r="D8" s="5">
        <v>54</v>
      </c>
      <c r="E8" s="4" t="str">
        <f t="shared" si="1"/>
        <v>Global Protection Corp.</v>
      </c>
      <c r="F8" s="8" t="str">
        <f>"10400C "</f>
        <v xml:space="preserve">10400C </v>
      </c>
      <c r="G8" s="4" t="str">
        <f t="shared" si="2"/>
        <v>Case</v>
      </c>
      <c r="H8" s="4" t="str">
        <f>"Extra Large Size"</f>
        <v>Extra Large Size</v>
      </c>
      <c r="I8" s="4" t="str">
        <f>"10400C "</f>
        <v xml:space="preserve">10400C </v>
      </c>
      <c r="J8" s="8" t="str">
        <f>"Extra Large Size"</f>
        <v>Extra Large Size</v>
      </c>
      <c r="K8" s="8" t="str">
        <f t="shared" si="3"/>
        <v>1000</v>
      </c>
      <c r="L8" s="4" t="str">
        <f t="shared" si="4"/>
        <v>Case</v>
      </c>
    </row>
    <row r="9" spans="1:12" x14ac:dyDescent="0.35">
      <c r="A9" s="4" t="str">
        <f>"6"</f>
        <v>6</v>
      </c>
      <c r="B9" s="4" t="s">
        <v>11</v>
      </c>
      <c r="C9" s="4" t="str">
        <f t="shared" si="0"/>
        <v>1.0</v>
      </c>
      <c r="D9" s="5">
        <v>54</v>
      </c>
      <c r="E9" s="4" t="str">
        <f t="shared" si="1"/>
        <v>Global Protection Corp.</v>
      </c>
      <c r="F9" s="8" t="str">
        <f>"10500C "</f>
        <v xml:space="preserve">10500C </v>
      </c>
      <c r="G9" s="4" t="str">
        <f t="shared" si="2"/>
        <v>Case</v>
      </c>
      <c r="H9" s="4" t="str">
        <f>"Snugger Fit      "</f>
        <v xml:space="preserve">Snugger Fit      </v>
      </c>
      <c r="I9" s="4" t="str">
        <f>"10500C "</f>
        <v xml:space="preserve">10500C </v>
      </c>
      <c r="J9" s="8" t="str">
        <f>"Snugger Fit      "</f>
        <v xml:space="preserve">Snugger Fit      </v>
      </c>
      <c r="K9" s="8" t="str">
        <f t="shared" si="3"/>
        <v>1000</v>
      </c>
      <c r="L9" s="4" t="str">
        <f t="shared" si="4"/>
        <v>Case</v>
      </c>
    </row>
    <row r="10" spans="1:12" x14ac:dyDescent="0.35">
      <c r="A10" s="4" t="str">
        <f>"7"</f>
        <v>7</v>
      </c>
      <c r="B10" s="4" t="s">
        <v>12</v>
      </c>
      <c r="C10" s="4" t="str">
        <f t="shared" si="0"/>
        <v>1.0</v>
      </c>
      <c r="D10" s="5">
        <v>54</v>
      </c>
      <c r="E10" s="4" t="str">
        <f t="shared" si="1"/>
        <v>Global Protection Corp.</v>
      </c>
      <c r="F10" s="8" t="str">
        <f>"10600C"</f>
        <v>10600C</v>
      </c>
      <c r="G10" s="4" t="str">
        <f t="shared" si="2"/>
        <v>Case</v>
      </c>
      <c r="H10" s="4" t="str">
        <f t="shared" ref="H10:H15" si="5">"Regular Size"</f>
        <v>Regular Size</v>
      </c>
      <c r="I10" s="4" t="str">
        <f>"10600C"</f>
        <v>10600C</v>
      </c>
      <c r="J10" s="8" t="str">
        <f t="shared" ref="J10:J15" si="6">"Regular Size"</f>
        <v>Regular Size</v>
      </c>
      <c r="K10" s="8" t="str">
        <f t="shared" si="3"/>
        <v>1000</v>
      </c>
      <c r="L10" s="4" t="str">
        <f t="shared" si="4"/>
        <v>Case</v>
      </c>
    </row>
    <row r="11" spans="1:12" x14ac:dyDescent="0.35">
      <c r="A11" s="4" t="str">
        <f>"8"</f>
        <v>8</v>
      </c>
      <c r="B11" s="4" t="s">
        <v>13</v>
      </c>
      <c r="C11" s="4" t="str">
        <f t="shared" si="0"/>
        <v>1.0</v>
      </c>
      <c r="D11" s="5">
        <v>54</v>
      </c>
      <c r="E11" s="4" t="str">
        <f t="shared" si="1"/>
        <v>Global Protection Corp.</v>
      </c>
      <c r="F11" s="8" t="str">
        <f>"10700C "</f>
        <v xml:space="preserve">10700C </v>
      </c>
      <c r="G11" s="4" t="str">
        <f t="shared" si="2"/>
        <v>Case</v>
      </c>
      <c r="H11" s="4" t="str">
        <f t="shared" si="5"/>
        <v>Regular Size</v>
      </c>
      <c r="I11" s="4" t="str">
        <f>"10700C "</f>
        <v xml:space="preserve">10700C </v>
      </c>
      <c r="J11" s="8" t="str">
        <f t="shared" si="6"/>
        <v>Regular Size</v>
      </c>
      <c r="K11" s="8" t="str">
        <f t="shared" si="3"/>
        <v>1000</v>
      </c>
      <c r="L11" s="4" t="str">
        <f t="shared" si="4"/>
        <v>Case</v>
      </c>
    </row>
    <row r="12" spans="1:12" x14ac:dyDescent="0.35">
      <c r="A12" s="4" t="str">
        <f>"9"</f>
        <v>9</v>
      </c>
      <c r="B12" s="4" t="s">
        <v>14</v>
      </c>
      <c r="C12" s="4" t="str">
        <f t="shared" si="0"/>
        <v>1.0</v>
      </c>
      <c r="D12" s="5">
        <v>72</v>
      </c>
      <c r="E12" s="4" t="str">
        <f t="shared" si="1"/>
        <v>Global Protection Corp.</v>
      </c>
      <c r="F12" s="8" t="str">
        <f>"11000C"</f>
        <v>11000C</v>
      </c>
      <c r="G12" s="4" t="str">
        <f t="shared" si="2"/>
        <v>Case</v>
      </c>
      <c r="H12" s="4" t="str">
        <f t="shared" si="5"/>
        <v>Regular Size</v>
      </c>
      <c r="I12" s="4" t="str">
        <f>"11000C"</f>
        <v>11000C</v>
      </c>
      <c r="J12" s="8" t="str">
        <f t="shared" si="6"/>
        <v>Regular Size</v>
      </c>
      <c r="K12" s="8" t="str">
        <f t="shared" si="3"/>
        <v>1000</v>
      </c>
      <c r="L12" s="4" t="str">
        <f t="shared" si="4"/>
        <v>Case</v>
      </c>
    </row>
    <row r="13" spans="1:12" x14ac:dyDescent="0.35">
      <c r="A13" s="4" t="str">
        <f>"10"</f>
        <v>10</v>
      </c>
      <c r="B13" s="4" t="s">
        <v>15</v>
      </c>
      <c r="C13" s="4" t="str">
        <f t="shared" si="0"/>
        <v>1.0</v>
      </c>
      <c r="D13" s="5">
        <v>75</v>
      </c>
      <c r="E13" s="4" t="str">
        <f t="shared" si="1"/>
        <v>Global Protection Corp.</v>
      </c>
      <c r="F13" s="8" t="str">
        <f>"11000CW"</f>
        <v>11000CW</v>
      </c>
      <c r="G13" s="4" t="str">
        <f t="shared" si="2"/>
        <v>Case</v>
      </c>
      <c r="H13" s="4" t="str">
        <f t="shared" si="5"/>
        <v>Regular Size</v>
      </c>
      <c r="I13" s="4" t="str">
        <f>"11000CW"</f>
        <v>11000CW</v>
      </c>
      <c r="J13" s="8" t="str">
        <f t="shared" si="6"/>
        <v>Regular Size</v>
      </c>
      <c r="K13" s="8" t="str">
        <f t="shared" si="3"/>
        <v>1000</v>
      </c>
      <c r="L13" s="4" t="str">
        <f t="shared" si="4"/>
        <v>Case</v>
      </c>
    </row>
    <row r="14" spans="1:12" x14ac:dyDescent="0.35">
      <c r="A14" s="4" t="str">
        <f>"11"</f>
        <v>11</v>
      </c>
      <c r="B14" s="4" t="s">
        <v>16</v>
      </c>
      <c r="C14" s="4" t="str">
        <f t="shared" si="0"/>
        <v>1.0</v>
      </c>
      <c r="D14" s="5">
        <v>75</v>
      </c>
      <c r="E14" s="4" t="str">
        <f t="shared" si="1"/>
        <v>Global Protection Corp.</v>
      </c>
      <c r="F14" s="8" t="str">
        <f>"11000CY"</f>
        <v>11000CY</v>
      </c>
      <c r="G14" s="4" t="str">
        <f t="shared" si="2"/>
        <v>Case</v>
      </c>
      <c r="H14" s="4" t="str">
        <f t="shared" si="5"/>
        <v>Regular Size</v>
      </c>
      <c r="I14" s="4" t="str">
        <f>"11000CY"</f>
        <v>11000CY</v>
      </c>
      <c r="J14" s="8" t="str">
        <f t="shared" si="6"/>
        <v>Regular Size</v>
      </c>
      <c r="K14" s="8" t="str">
        <f t="shared" si="3"/>
        <v>1000</v>
      </c>
      <c r="L14" s="4" t="str">
        <f t="shared" si="4"/>
        <v>Case</v>
      </c>
    </row>
    <row r="15" spans="1:12" x14ac:dyDescent="0.35">
      <c r="A15" s="4" t="str">
        <f>"12"</f>
        <v>12</v>
      </c>
      <c r="B15" s="4" t="s">
        <v>17</v>
      </c>
      <c r="C15" s="4" t="str">
        <f t="shared" si="0"/>
        <v>1.0</v>
      </c>
      <c r="D15" s="5">
        <v>75</v>
      </c>
      <c r="E15" s="4" t="str">
        <f t="shared" si="1"/>
        <v>Global Protection Corp.</v>
      </c>
      <c r="F15" s="8" t="str">
        <f>"11000CZ"</f>
        <v>11000CZ</v>
      </c>
      <c r="G15" s="4" t="str">
        <f t="shared" si="2"/>
        <v>Case</v>
      </c>
      <c r="H15" s="4" t="str">
        <f t="shared" si="5"/>
        <v>Regular Size</v>
      </c>
      <c r="I15" s="4" t="str">
        <f>"11000CZ"</f>
        <v>11000CZ</v>
      </c>
      <c r="J15" s="8" t="str">
        <f t="shared" si="6"/>
        <v>Regular Size</v>
      </c>
      <c r="K15" s="8" t="str">
        <f t="shared" si="3"/>
        <v>1000</v>
      </c>
      <c r="L15" s="4" t="str">
        <f t="shared" si="4"/>
        <v>Case</v>
      </c>
    </row>
    <row r="16" spans="1:12" x14ac:dyDescent="0.35">
      <c r="A16" s="4" t="str">
        <f>"13"</f>
        <v>13</v>
      </c>
      <c r="B16" s="4" t="s">
        <v>18</v>
      </c>
      <c r="C16" s="4" t="str">
        <f t="shared" si="0"/>
        <v>1.0</v>
      </c>
      <c r="D16" s="5">
        <v>47</v>
      </c>
      <c r="E16" s="4" t="str">
        <f t="shared" si="1"/>
        <v>Global Protection Corp.</v>
      </c>
      <c r="F16" s="8" t="str">
        <f>"11010C-A"</f>
        <v>11010C-A</v>
      </c>
      <c r="G16" s="4" t="str">
        <f t="shared" si="2"/>
        <v>Case</v>
      </c>
      <c r="H16" s="4" t="str">
        <f>"Specialty"</f>
        <v>Specialty</v>
      </c>
      <c r="I16" s="4" t="str">
        <f>"11010C-A"</f>
        <v>11010C-A</v>
      </c>
      <c r="J16" s="8" t="str">
        <f>"Specialty"</f>
        <v>Specialty</v>
      </c>
      <c r="K16" s="8" t="str">
        <f>"500"</f>
        <v>500</v>
      </c>
      <c r="L16" s="4" t="str">
        <f t="shared" si="4"/>
        <v>Case</v>
      </c>
    </row>
    <row r="17" spans="1:12" x14ac:dyDescent="0.35">
      <c r="A17" s="4" t="str">
        <f>"14"</f>
        <v>14</v>
      </c>
      <c r="B17" s="4" t="s">
        <v>19</v>
      </c>
      <c r="C17" s="4" t="str">
        <f t="shared" si="0"/>
        <v>1.0</v>
      </c>
      <c r="D17" s="5">
        <v>47</v>
      </c>
      <c r="E17" s="4" t="str">
        <f t="shared" si="1"/>
        <v>Global Protection Corp.</v>
      </c>
      <c r="F17" s="8" t="str">
        <f>"11010C-B"</f>
        <v>11010C-B</v>
      </c>
      <c r="G17" s="4" t="str">
        <f t="shared" si="2"/>
        <v>Case</v>
      </c>
      <c r="H17" s="4" t="str">
        <f>"Specialty"</f>
        <v>Specialty</v>
      </c>
      <c r="I17" s="4" t="str">
        <f>"11010C-B"</f>
        <v>11010C-B</v>
      </c>
      <c r="J17" s="8" t="str">
        <f>"Specialty"</f>
        <v>Specialty</v>
      </c>
      <c r="K17" s="8" t="str">
        <f>"500"</f>
        <v>500</v>
      </c>
      <c r="L17" s="4" t="str">
        <f t="shared" si="4"/>
        <v>Case</v>
      </c>
    </row>
    <row r="18" spans="1:12" x14ac:dyDescent="0.35">
      <c r="A18" s="4" t="str">
        <f>"15"</f>
        <v>15</v>
      </c>
      <c r="B18" s="4" t="s">
        <v>20</v>
      </c>
      <c r="C18" s="4" t="str">
        <f t="shared" si="0"/>
        <v>1.0</v>
      </c>
      <c r="D18" s="5">
        <v>47</v>
      </c>
      <c r="E18" s="4" t="str">
        <f t="shared" si="1"/>
        <v>Global Protection Corp.</v>
      </c>
      <c r="F18" s="8" t="str">
        <f>"11010C-C"</f>
        <v>11010C-C</v>
      </c>
      <c r="G18" s="4" t="str">
        <f t="shared" si="2"/>
        <v>Case</v>
      </c>
      <c r="H18" s="4" t="str">
        <f>"Specialty"</f>
        <v>Specialty</v>
      </c>
      <c r="I18" s="4" t="str">
        <f>"11010C-C"</f>
        <v>11010C-C</v>
      </c>
      <c r="J18" s="8" t="str">
        <f>"Specialty"</f>
        <v>Specialty</v>
      </c>
      <c r="K18" s="8" t="str">
        <f>"500"</f>
        <v>500</v>
      </c>
      <c r="L18" s="4" t="str">
        <f t="shared" si="4"/>
        <v>Case</v>
      </c>
    </row>
    <row r="19" spans="1:12" x14ac:dyDescent="0.35">
      <c r="A19" s="4" t="str">
        <f>"16"</f>
        <v>16</v>
      </c>
      <c r="B19" s="4" t="s">
        <v>21</v>
      </c>
      <c r="C19" s="4" t="str">
        <f t="shared" si="0"/>
        <v>1.0</v>
      </c>
      <c r="D19" s="5">
        <v>78</v>
      </c>
      <c r="E19" s="4" t="str">
        <f t="shared" si="1"/>
        <v>Global Protection Corp.</v>
      </c>
      <c r="F19" s="8" t="str">
        <f>"110200C"</f>
        <v>110200C</v>
      </c>
      <c r="G19" s="4" t="str">
        <f t="shared" si="2"/>
        <v>Case</v>
      </c>
      <c r="H19" s="4" t="str">
        <f>"Flavored"</f>
        <v>Flavored</v>
      </c>
      <c r="I19" s="4" t="str">
        <f>"110200C"</f>
        <v>110200C</v>
      </c>
      <c r="J19" s="8" t="str">
        <f>"Flavored"</f>
        <v>Flavored</v>
      </c>
      <c r="K19" s="8" t="str">
        <f t="shared" ref="K19:K25" si="7">"1000"</f>
        <v>1000</v>
      </c>
      <c r="L19" s="4" t="str">
        <f t="shared" si="4"/>
        <v>Case</v>
      </c>
    </row>
    <row r="20" spans="1:12" x14ac:dyDescent="0.35">
      <c r="A20" s="4" t="str">
        <f>"17"</f>
        <v>17</v>
      </c>
      <c r="B20" s="4" t="s">
        <v>22</v>
      </c>
      <c r="C20" s="4" t="str">
        <f t="shared" si="0"/>
        <v>1.0</v>
      </c>
      <c r="D20" s="5">
        <v>75</v>
      </c>
      <c r="E20" s="4" t="str">
        <f t="shared" si="1"/>
        <v>Global Protection Corp.</v>
      </c>
      <c r="F20" s="8" t="str">
        <f>"11100C"</f>
        <v>11100C</v>
      </c>
      <c r="G20" s="4" t="str">
        <f t="shared" si="2"/>
        <v>Case</v>
      </c>
      <c r="H20" s="4" t="str">
        <f>"Regular Size"</f>
        <v>Regular Size</v>
      </c>
      <c r="I20" s="4" t="str">
        <f>"11100C"</f>
        <v>11100C</v>
      </c>
      <c r="J20" s="8" t="str">
        <f>"Regular Size"</f>
        <v>Regular Size</v>
      </c>
      <c r="K20" s="8" t="str">
        <f t="shared" si="7"/>
        <v>1000</v>
      </c>
      <c r="L20" s="4" t="str">
        <f t="shared" si="4"/>
        <v>Case</v>
      </c>
    </row>
    <row r="21" spans="1:12" x14ac:dyDescent="0.35">
      <c r="A21" s="4" t="str">
        <f>"18"</f>
        <v>18</v>
      </c>
      <c r="B21" s="4" t="s">
        <v>23</v>
      </c>
      <c r="C21" s="4" t="str">
        <f t="shared" si="0"/>
        <v>1.0</v>
      </c>
      <c r="D21" s="5">
        <v>83</v>
      </c>
      <c r="E21" s="4" t="str">
        <f t="shared" si="1"/>
        <v>Global Protection Corp.</v>
      </c>
      <c r="F21" s="8" t="str">
        <f>"111300C"</f>
        <v>111300C</v>
      </c>
      <c r="G21" s="4" t="str">
        <f t="shared" si="2"/>
        <v>Case</v>
      </c>
      <c r="H21" s="4" t="str">
        <f>"Regular Size"</f>
        <v>Regular Size</v>
      </c>
      <c r="I21" s="4" t="str">
        <f>"111300C"</f>
        <v>111300C</v>
      </c>
      <c r="J21" s="8" t="str">
        <f>"Regular Size"</f>
        <v>Regular Size</v>
      </c>
      <c r="K21" s="8" t="str">
        <f t="shared" si="7"/>
        <v>1000</v>
      </c>
      <c r="L21" s="4" t="str">
        <f t="shared" si="4"/>
        <v>Case</v>
      </c>
    </row>
    <row r="22" spans="1:12" x14ac:dyDescent="0.35">
      <c r="A22" s="4" t="str">
        <f>"19"</f>
        <v>19</v>
      </c>
      <c r="B22" s="4" t="s">
        <v>24</v>
      </c>
      <c r="C22" s="4" t="str">
        <f t="shared" si="0"/>
        <v>1.0</v>
      </c>
      <c r="D22" s="5">
        <v>75</v>
      </c>
      <c r="E22" s="4" t="str">
        <f t="shared" si="1"/>
        <v>Global Protection Corp.</v>
      </c>
      <c r="F22" s="8" t="str">
        <f>"111700C"</f>
        <v>111700C</v>
      </c>
      <c r="G22" s="4" t="str">
        <f t="shared" si="2"/>
        <v>Case</v>
      </c>
      <c r="H22" s="4" t="str">
        <f>"Regular Size"</f>
        <v>Regular Size</v>
      </c>
      <c r="I22" s="4" t="str">
        <f>"111700C"</f>
        <v>111700C</v>
      </c>
      <c r="J22" s="8" t="str">
        <f>"Regular Size"</f>
        <v>Regular Size</v>
      </c>
      <c r="K22" s="8" t="str">
        <f t="shared" si="7"/>
        <v>1000</v>
      </c>
      <c r="L22" s="4" t="str">
        <f t="shared" si="4"/>
        <v>Case</v>
      </c>
    </row>
    <row r="23" spans="1:12" x14ac:dyDescent="0.35">
      <c r="A23" s="4" t="str">
        <f>"20"</f>
        <v>20</v>
      </c>
      <c r="B23" s="4" t="s">
        <v>25</v>
      </c>
      <c r="C23" s="4" t="str">
        <f t="shared" si="0"/>
        <v>1.0</v>
      </c>
      <c r="D23" s="5">
        <v>83</v>
      </c>
      <c r="E23" s="4" t="str">
        <f t="shared" si="1"/>
        <v>Global Protection Corp.</v>
      </c>
      <c r="F23" s="8" t="str">
        <f>"112000C"</f>
        <v>112000C</v>
      </c>
      <c r="G23" s="4" t="str">
        <f t="shared" si="2"/>
        <v>Case</v>
      </c>
      <c r="H23" s="4" t="str">
        <f>"Regular Size"</f>
        <v>Regular Size</v>
      </c>
      <c r="I23" s="4" t="str">
        <f>"112000C"</f>
        <v>112000C</v>
      </c>
      <c r="J23" s="8" t="str">
        <f>"Regular Size"</f>
        <v>Regular Size</v>
      </c>
      <c r="K23" s="8" t="str">
        <f t="shared" si="7"/>
        <v>1000</v>
      </c>
      <c r="L23" s="4" t="str">
        <f t="shared" si="4"/>
        <v>Case</v>
      </c>
    </row>
    <row r="24" spans="1:12" x14ac:dyDescent="0.35">
      <c r="A24" s="4" t="str">
        <f>"21"</f>
        <v>21</v>
      </c>
      <c r="B24" s="4" t="s">
        <v>26</v>
      </c>
      <c r="C24" s="4" t="str">
        <f t="shared" si="0"/>
        <v>1.0</v>
      </c>
      <c r="D24" s="5">
        <v>75</v>
      </c>
      <c r="E24" s="4" t="str">
        <f t="shared" si="1"/>
        <v>Global Protection Corp.</v>
      </c>
      <c r="F24" s="8" t="str">
        <f>"11200C "</f>
        <v xml:space="preserve">11200C </v>
      </c>
      <c r="G24" s="4" t="str">
        <f t="shared" si="2"/>
        <v>Case</v>
      </c>
      <c r="H24" s="4" t="str">
        <f>"Regular Size"</f>
        <v>Regular Size</v>
      </c>
      <c r="I24" s="4" t="str">
        <f>"11200C "</f>
        <v xml:space="preserve">11200C </v>
      </c>
      <c r="J24" s="8" t="str">
        <f>"Regular Size"</f>
        <v>Regular Size</v>
      </c>
      <c r="K24" s="8" t="str">
        <f t="shared" si="7"/>
        <v>1000</v>
      </c>
      <c r="L24" s="4" t="str">
        <f t="shared" si="4"/>
        <v>Case</v>
      </c>
    </row>
    <row r="25" spans="1:12" x14ac:dyDescent="0.35">
      <c r="A25" s="4" t="str">
        <f>"22"</f>
        <v>22</v>
      </c>
      <c r="B25" s="4" t="s">
        <v>27</v>
      </c>
      <c r="C25" s="4" t="str">
        <f t="shared" si="0"/>
        <v>1.0</v>
      </c>
      <c r="D25" s="5">
        <v>75</v>
      </c>
      <c r="E25" s="4" t="str">
        <f t="shared" si="1"/>
        <v>Global Protection Corp.</v>
      </c>
      <c r="F25" s="8" t="str">
        <f>"11400C"</f>
        <v>11400C</v>
      </c>
      <c r="G25" s="4" t="str">
        <f t="shared" si="2"/>
        <v>Case</v>
      </c>
      <c r="H25" s="4" t="str">
        <f>"Extra Large Size"</f>
        <v>Extra Large Size</v>
      </c>
      <c r="I25" s="4" t="str">
        <f>"11400C"</f>
        <v>11400C</v>
      </c>
      <c r="J25" s="8" t="str">
        <f>"Extra Large Size"</f>
        <v>Extra Large Size</v>
      </c>
      <c r="K25" s="8" t="str">
        <f t="shared" si="7"/>
        <v>1000</v>
      </c>
      <c r="L25" s="4" t="str">
        <f t="shared" si="4"/>
        <v>Case</v>
      </c>
    </row>
    <row r="26" spans="1:12" x14ac:dyDescent="0.35">
      <c r="A26" s="4" t="str">
        <f>"23"</f>
        <v>23</v>
      </c>
      <c r="B26" s="4" t="s">
        <v>28</v>
      </c>
      <c r="C26" s="4" t="str">
        <f t="shared" si="0"/>
        <v>1.0</v>
      </c>
      <c r="D26" s="5">
        <v>85</v>
      </c>
      <c r="E26" s="4" t="str">
        <f t="shared" si="1"/>
        <v>Global Protection Corp.</v>
      </c>
      <c r="F26" s="8" t="str">
        <f>"11500C"</f>
        <v>11500C</v>
      </c>
      <c r="G26" s="4" t="str">
        <f t="shared" si="2"/>
        <v>Case</v>
      </c>
      <c r="H26" s="4" t="str">
        <f>"Specialty"</f>
        <v>Specialty</v>
      </c>
      <c r="I26" s="4" t="str">
        <f>"11500C"</f>
        <v>11500C</v>
      </c>
      <c r="J26" s="8" t="str">
        <f>"Specialty"</f>
        <v>Specialty</v>
      </c>
      <c r="K26" s="8" t="str">
        <f>"500"</f>
        <v>500</v>
      </c>
      <c r="L26" s="4" t="str">
        <f t="shared" si="4"/>
        <v>Case</v>
      </c>
    </row>
    <row r="27" spans="1:12" x14ac:dyDescent="0.35">
      <c r="A27" s="4" t="str">
        <f>"24"</f>
        <v>24</v>
      </c>
      <c r="B27" s="4" t="s">
        <v>29</v>
      </c>
      <c r="C27" s="4" t="str">
        <f t="shared" si="0"/>
        <v>1.0</v>
      </c>
      <c r="D27" s="5">
        <v>75</v>
      </c>
      <c r="E27" s="4" t="str">
        <f t="shared" si="1"/>
        <v>Global Protection Corp.</v>
      </c>
      <c r="F27" s="8" t="str">
        <f>"11600C "</f>
        <v xml:space="preserve">11600C </v>
      </c>
      <c r="G27" s="4" t="str">
        <f t="shared" si="2"/>
        <v>Case</v>
      </c>
      <c r="H27" s="4" t="str">
        <f>"Regular Size"</f>
        <v>Regular Size</v>
      </c>
      <c r="I27" s="4" t="str">
        <f>"11600C "</f>
        <v xml:space="preserve">11600C </v>
      </c>
      <c r="J27" s="8" t="str">
        <f>"Regular Size"</f>
        <v>Regular Size</v>
      </c>
      <c r="K27" s="8" t="str">
        <f>"1000"</f>
        <v>1000</v>
      </c>
      <c r="L27" s="4" t="str">
        <f t="shared" si="4"/>
        <v>Case</v>
      </c>
    </row>
    <row r="28" spans="1:12" x14ac:dyDescent="0.35">
      <c r="A28" s="4" t="str">
        <f>"25"</f>
        <v>25</v>
      </c>
      <c r="B28" s="4" t="s">
        <v>30</v>
      </c>
      <c r="C28" s="4" t="str">
        <f t="shared" si="0"/>
        <v>1.0</v>
      </c>
      <c r="D28" s="5">
        <v>82</v>
      </c>
      <c r="E28" s="4" t="str">
        <f t="shared" si="1"/>
        <v>Global Protection Corp.</v>
      </c>
      <c r="F28" s="8" t="str">
        <f>"12000C"</f>
        <v>12000C</v>
      </c>
      <c r="G28" s="4" t="str">
        <f t="shared" si="2"/>
        <v>Case</v>
      </c>
      <c r="H28" s="4" t="str">
        <f>"Specialty"</f>
        <v>Specialty</v>
      </c>
      <c r="I28" s="4" t="str">
        <f>"12000C"</f>
        <v>12000C</v>
      </c>
      <c r="J28" s="8" t="str">
        <f>"Specialty"</f>
        <v>Specialty</v>
      </c>
      <c r="K28" s="8" t="str">
        <f>"500"</f>
        <v>500</v>
      </c>
      <c r="L28" s="4" t="str">
        <f t="shared" si="4"/>
        <v>Case</v>
      </c>
    </row>
    <row r="29" spans="1:12" x14ac:dyDescent="0.35">
      <c r="A29" s="4" t="str">
        <f>"26"</f>
        <v>26</v>
      </c>
      <c r="B29" s="4" t="s">
        <v>31</v>
      </c>
      <c r="C29" s="4" t="str">
        <f t="shared" si="0"/>
        <v>1.0</v>
      </c>
      <c r="D29" s="5">
        <v>69</v>
      </c>
      <c r="E29" s="4" t="str">
        <f t="shared" si="1"/>
        <v>Global Protection Corp.</v>
      </c>
      <c r="F29" s="8" t="str">
        <f>"14000C1 "</f>
        <v xml:space="preserve">14000C1 </v>
      </c>
      <c r="G29" s="4" t="str">
        <f t="shared" si="2"/>
        <v>Case</v>
      </c>
      <c r="H29" s="4" t="str">
        <f>"Large Size"</f>
        <v>Large Size</v>
      </c>
      <c r="I29" s="4" t="str">
        <f>"14000C1 "</f>
        <v xml:space="preserve">14000C1 </v>
      </c>
      <c r="J29" s="8" t="str">
        <f>"Large Size"</f>
        <v>Large Size</v>
      </c>
      <c r="K29" s="8" t="str">
        <f>"500"</f>
        <v>500</v>
      </c>
      <c r="L29" s="4" t="str">
        <f t="shared" si="4"/>
        <v>Case</v>
      </c>
    </row>
    <row r="30" spans="1:12" x14ac:dyDescent="0.35">
      <c r="A30" s="4" t="str">
        <f>"27"</f>
        <v>27</v>
      </c>
      <c r="B30" s="4" t="s">
        <v>32</v>
      </c>
      <c r="C30" s="4" t="str">
        <f t="shared" si="0"/>
        <v>1.0</v>
      </c>
      <c r="D30" s="5">
        <v>14</v>
      </c>
      <c r="E30" s="4" t="str">
        <f t="shared" si="1"/>
        <v>Global Protection Corp.</v>
      </c>
      <c r="F30" s="8" t="str">
        <f>"BBU"</f>
        <v>BBU</v>
      </c>
      <c r="G30" s="4" t="str">
        <f>"Bowl"</f>
        <v>Bowl</v>
      </c>
      <c r="H30" s="4" t="str">
        <f>"Alternative packaging"</f>
        <v>Alternative packaging</v>
      </c>
      <c r="I30" s="4" t="str">
        <f>"BBU"</f>
        <v>BBU</v>
      </c>
      <c r="J30" s="8" t="str">
        <f>"Alternative packaging"</f>
        <v>Alternative packaging</v>
      </c>
      <c r="K30" s="8" t="str">
        <f>"144"</f>
        <v>144</v>
      </c>
      <c r="L30" s="4" t="str">
        <f>"Bowl"</f>
        <v>Bowl</v>
      </c>
    </row>
    <row r="31" spans="1:12" x14ac:dyDescent="0.35">
      <c r="A31" s="4" t="str">
        <f>"28"</f>
        <v>28</v>
      </c>
      <c r="B31" s="4" t="s">
        <v>33</v>
      </c>
      <c r="C31" s="4" t="str">
        <f t="shared" si="0"/>
        <v>1.0</v>
      </c>
      <c r="D31" s="5">
        <v>48</v>
      </c>
      <c r="E31" s="4" t="str">
        <f t="shared" si="1"/>
        <v>Global Protection Corp.</v>
      </c>
      <c r="F31" s="8" t="str">
        <f>"L6808C"</f>
        <v>L6808C</v>
      </c>
      <c r="G31" s="4" t="str">
        <f t="shared" ref="G31:G57" si="8">"Case"</f>
        <v>Case</v>
      </c>
      <c r="H31" s="4" t="str">
        <f>"Regular Size"</f>
        <v>Regular Size</v>
      </c>
      <c r="I31" s="4" t="str">
        <f>"L6808C"</f>
        <v>L6808C</v>
      </c>
      <c r="J31" s="8" t="str">
        <f>"Regular Size"</f>
        <v>Regular Size</v>
      </c>
      <c r="K31" s="8" t="str">
        <f t="shared" ref="K31:K57" si="9">"1000"</f>
        <v>1000</v>
      </c>
      <c r="L31" s="4" t="str">
        <f t="shared" ref="L31:L57" si="10">"Case"</f>
        <v>Case</v>
      </c>
    </row>
    <row r="32" spans="1:12" x14ac:dyDescent="0.35">
      <c r="A32" s="4" t="str">
        <f>"29"</f>
        <v>29</v>
      </c>
      <c r="B32" s="4" t="s">
        <v>34</v>
      </c>
      <c r="C32" s="4" t="str">
        <f t="shared" si="0"/>
        <v>1.0</v>
      </c>
      <c r="D32" s="5">
        <v>52</v>
      </c>
      <c r="E32" s="4" t="str">
        <f t="shared" si="1"/>
        <v>Global Protection Corp.</v>
      </c>
      <c r="F32" s="8" t="str">
        <f>"L6818C "</f>
        <v xml:space="preserve">L6818C </v>
      </c>
      <c r="G32" s="4" t="str">
        <f t="shared" si="8"/>
        <v>Case</v>
      </c>
      <c r="H32" s="4" t="str">
        <f>"Flavored"</f>
        <v>Flavored</v>
      </c>
      <c r="I32" s="4" t="str">
        <f>"L6818C "</f>
        <v xml:space="preserve">L6818C </v>
      </c>
      <c r="J32" s="8" t="str">
        <f>"Flavored"</f>
        <v>Flavored</v>
      </c>
      <c r="K32" s="8" t="str">
        <f t="shared" si="9"/>
        <v>1000</v>
      </c>
      <c r="L32" s="4" t="str">
        <f t="shared" si="10"/>
        <v>Case</v>
      </c>
    </row>
    <row r="33" spans="1:12" x14ac:dyDescent="0.35">
      <c r="A33" s="4" t="str">
        <f>"30"</f>
        <v>30</v>
      </c>
      <c r="B33" s="4" t="s">
        <v>35</v>
      </c>
      <c r="C33" s="4" t="str">
        <f t="shared" si="0"/>
        <v>1.0</v>
      </c>
      <c r="D33" s="5">
        <v>52</v>
      </c>
      <c r="E33" s="4" t="str">
        <f t="shared" si="1"/>
        <v>Global Protection Corp.</v>
      </c>
      <c r="F33" s="8" t="str">
        <f>"L6828C"</f>
        <v>L6828C</v>
      </c>
      <c r="G33" s="4" t="str">
        <f t="shared" si="8"/>
        <v>Case</v>
      </c>
      <c r="H33" s="4" t="str">
        <f>"Regular Size"</f>
        <v>Regular Size</v>
      </c>
      <c r="I33" s="4" t="str">
        <f>"L6828C"</f>
        <v>L6828C</v>
      </c>
      <c r="J33" s="8" t="str">
        <f>"Regular Size"</f>
        <v>Regular Size</v>
      </c>
      <c r="K33" s="8" t="str">
        <f t="shared" si="9"/>
        <v>1000</v>
      </c>
      <c r="L33" s="4" t="str">
        <f t="shared" si="10"/>
        <v>Case</v>
      </c>
    </row>
    <row r="34" spans="1:12" x14ac:dyDescent="0.35">
      <c r="A34" s="4" t="str">
        <f>"31"</f>
        <v>31</v>
      </c>
      <c r="B34" s="4" t="s">
        <v>36</v>
      </c>
      <c r="C34" s="4" t="str">
        <f t="shared" si="0"/>
        <v>1.0</v>
      </c>
      <c r="D34" s="5">
        <v>75</v>
      </c>
      <c r="E34" s="4" t="str">
        <f t="shared" si="1"/>
        <v>Global Protection Corp.</v>
      </c>
      <c r="F34" s="8" t="str">
        <f>"L8050C "</f>
        <v xml:space="preserve">L8050C </v>
      </c>
      <c r="G34" s="4" t="str">
        <f t="shared" si="8"/>
        <v>Case</v>
      </c>
      <c r="H34" s="4" t="str">
        <f>"Flavored"</f>
        <v>Flavored</v>
      </c>
      <c r="I34" s="4" t="str">
        <f>"L8050C "</f>
        <v xml:space="preserve">L8050C </v>
      </c>
      <c r="J34" s="8" t="str">
        <f>"Flavored"</f>
        <v>Flavored</v>
      </c>
      <c r="K34" s="8" t="str">
        <f t="shared" si="9"/>
        <v>1000</v>
      </c>
      <c r="L34" s="4" t="str">
        <f t="shared" si="10"/>
        <v>Case</v>
      </c>
    </row>
    <row r="35" spans="1:12" x14ac:dyDescent="0.35">
      <c r="A35" s="4" t="str">
        <f>"32"</f>
        <v>32</v>
      </c>
      <c r="B35" s="4" t="s">
        <v>37</v>
      </c>
      <c r="C35" s="4" t="str">
        <f t="shared" si="0"/>
        <v>1.0</v>
      </c>
      <c r="D35" s="5">
        <v>61</v>
      </c>
      <c r="E35" s="4" t="str">
        <f t="shared" si="1"/>
        <v>Global Protection Corp.</v>
      </c>
      <c r="F35" s="8" t="str">
        <f>"L8750C"</f>
        <v>L8750C</v>
      </c>
      <c r="G35" s="4" t="str">
        <f t="shared" si="8"/>
        <v>Case</v>
      </c>
      <c r="H35" s="4" t="str">
        <f>"Flavored"</f>
        <v>Flavored</v>
      </c>
      <c r="I35" s="4" t="str">
        <f>"L8750C"</f>
        <v>L8750C</v>
      </c>
      <c r="J35" s="8" t="str">
        <f>"Flavored"</f>
        <v>Flavored</v>
      </c>
      <c r="K35" s="8" t="str">
        <f t="shared" si="9"/>
        <v>1000</v>
      </c>
      <c r="L35" s="4" t="str">
        <f t="shared" si="10"/>
        <v>Case</v>
      </c>
    </row>
    <row r="36" spans="1:12" x14ac:dyDescent="0.35">
      <c r="A36" s="4" t="str">
        <f>"33"</f>
        <v>33</v>
      </c>
      <c r="B36" s="4" t="s">
        <v>38</v>
      </c>
      <c r="C36" s="4" t="str">
        <f t="shared" ref="C36:C67" si="11">"1.0"</f>
        <v>1.0</v>
      </c>
      <c r="D36" s="5">
        <v>89</v>
      </c>
      <c r="E36" s="4" t="str">
        <f t="shared" ref="E36:E55" si="12">"Global Protection Corp."</f>
        <v>Global Protection Corp.</v>
      </c>
      <c r="F36" s="8" t="str">
        <f>"L8823LC "</f>
        <v xml:space="preserve">L8823LC </v>
      </c>
      <c r="G36" s="4" t="str">
        <f t="shared" si="8"/>
        <v>Case</v>
      </c>
      <c r="H36" s="4" t="str">
        <f t="shared" ref="H36:H42" si="13">"Regular Size"</f>
        <v>Regular Size</v>
      </c>
      <c r="I36" s="4" t="str">
        <f>"L8823LC "</f>
        <v xml:space="preserve">L8823LC </v>
      </c>
      <c r="J36" s="8" t="str">
        <f t="shared" ref="J36:J42" si="14">"Regular Size"</f>
        <v>Regular Size</v>
      </c>
      <c r="K36" s="8" t="str">
        <f t="shared" si="9"/>
        <v>1000</v>
      </c>
      <c r="L36" s="4" t="str">
        <f t="shared" si="10"/>
        <v>Case</v>
      </c>
    </row>
    <row r="37" spans="1:12" x14ac:dyDescent="0.35">
      <c r="A37" s="4" t="str">
        <f>"34"</f>
        <v>34</v>
      </c>
      <c r="B37" s="4" t="s">
        <v>39</v>
      </c>
      <c r="C37" s="4" t="str">
        <f t="shared" si="11"/>
        <v>1.0</v>
      </c>
      <c r="D37" s="5">
        <v>55</v>
      </c>
      <c r="E37" s="4" t="str">
        <f t="shared" si="12"/>
        <v>Global Protection Corp.</v>
      </c>
      <c r="F37" s="8" t="str">
        <f>"L8826NC "</f>
        <v xml:space="preserve">L8826NC </v>
      </c>
      <c r="G37" s="4" t="str">
        <f t="shared" si="8"/>
        <v>Case</v>
      </c>
      <c r="H37" s="4" t="str">
        <f t="shared" si="13"/>
        <v>Regular Size</v>
      </c>
      <c r="I37" s="4" t="str">
        <f>"L8826NC "</f>
        <v xml:space="preserve">L8826NC </v>
      </c>
      <c r="J37" s="8" t="str">
        <f t="shared" si="14"/>
        <v>Regular Size</v>
      </c>
      <c r="K37" s="8" t="str">
        <f t="shared" si="9"/>
        <v>1000</v>
      </c>
      <c r="L37" s="4" t="str">
        <f t="shared" si="10"/>
        <v>Case</v>
      </c>
    </row>
    <row r="38" spans="1:12" x14ac:dyDescent="0.35">
      <c r="A38" s="4" t="str">
        <f>"35"</f>
        <v>35</v>
      </c>
      <c r="B38" s="4" t="s">
        <v>40</v>
      </c>
      <c r="C38" s="4" t="str">
        <f t="shared" si="11"/>
        <v>1.0</v>
      </c>
      <c r="D38" s="5">
        <v>89</v>
      </c>
      <c r="E38" s="4" t="str">
        <f t="shared" si="12"/>
        <v>Global Protection Corp.</v>
      </c>
      <c r="F38" s="8" t="str">
        <f>"L8828LC "</f>
        <v xml:space="preserve">L8828LC </v>
      </c>
      <c r="G38" s="4" t="str">
        <f t="shared" si="8"/>
        <v>Case</v>
      </c>
      <c r="H38" s="4" t="str">
        <f t="shared" si="13"/>
        <v>Regular Size</v>
      </c>
      <c r="I38" s="4" t="str">
        <f>"L8828LC "</f>
        <v xml:space="preserve">L8828LC </v>
      </c>
      <c r="J38" s="8" t="str">
        <f t="shared" si="14"/>
        <v>Regular Size</v>
      </c>
      <c r="K38" s="8" t="str">
        <f t="shared" si="9"/>
        <v>1000</v>
      </c>
      <c r="L38" s="4" t="str">
        <f t="shared" si="10"/>
        <v>Case</v>
      </c>
    </row>
    <row r="39" spans="1:12" x14ac:dyDescent="0.35">
      <c r="A39" s="4" t="str">
        <f>"36"</f>
        <v>36</v>
      </c>
      <c r="B39" s="4" t="s">
        <v>41</v>
      </c>
      <c r="C39" s="4" t="str">
        <f t="shared" si="11"/>
        <v>1.0</v>
      </c>
      <c r="D39" s="5">
        <v>55</v>
      </c>
      <c r="E39" s="4" t="str">
        <f t="shared" si="12"/>
        <v>Global Protection Corp.</v>
      </c>
      <c r="F39" s="8" t="str">
        <f>"L8829AC"</f>
        <v>L8829AC</v>
      </c>
      <c r="G39" s="4" t="str">
        <f t="shared" si="8"/>
        <v>Case</v>
      </c>
      <c r="H39" s="4" t="str">
        <f t="shared" si="13"/>
        <v>Regular Size</v>
      </c>
      <c r="I39" s="4" t="str">
        <f>"L8829AC"</f>
        <v>L8829AC</v>
      </c>
      <c r="J39" s="8" t="str">
        <f t="shared" si="14"/>
        <v>Regular Size</v>
      </c>
      <c r="K39" s="8" t="str">
        <f t="shared" si="9"/>
        <v>1000</v>
      </c>
      <c r="L39" s="4" t="str">
        <f t="shared" si="10"/>
        <v>Case</v>
      </c>
    </row>
    <row r="40" spans="1:12" x14ac:dyDescent="0.35">
      <c r="A40" s="4" t="str">
        <f>"37"</f>
        <v>37</v>
      </c>
      <c r="B40" s="4" t="s">
        <v>42</v>
      </c>
      <c r="C40" s="4" t="str">
        <f t="shared" si="11"/>
        <v>1.0</v>
      </c>
      <c r="D40" s="5">
        <v>58</v>
      </c>
      <c r="E40" s="4" t="str">
        <f t="shared" si="12"/>
        <v>Global Protection Corp.</v>
      </c>
      <c r="F40" s="8" t="str">
        <f>"L8833AC "</f>
        <v xml:space="preserve">L8833AC </v>
      </c>
      <c r="G40" s="4" t="str">
        <f t="shared" si="8"/>
        <v>Case</v>
      </c>
      <c r="H40" s="4" t="str">
        <f t="shared" si="13"/>
        <v>Regular Size</v>
      </c>
      <c r="I40" s="4" t="str">
        <f>"L8833AC "</f>
        <v xml:space="preserve">L8833AC </v>
      </c>
      <c r="J40" s="8" t="str">
        <f t="shared" si="14"/>
        <v>Regular Size</v>
      </c>
      <c r="K40" s="8" t="str">
        <f t="shared" si="9"/>
        <v>1000</v>
      </c>
      <c r="L40" s="4" t="str">
        <f t="shared" si="10"/>
        <v>Case</v>
      </c>
    </row>
    <row r="41" spans="1:12" x14ac:dyDescent="0.35">
      <c r="A41" s="4" t="str">
        <f>"38"</f>
        <v>38</v>
      </c>
      <c r="B41" s="4" t="s">
        <v>43</v>
      </c>
      <c r="C41" s="4" t="str">
        <f t="shared" si="11"/>
        <v>1.0</v>
      </c>
      <c r="D41" s="5">
        <v>60</v>
      </c>
      <c r="E41" s="4" t="str">
        <f t="shared" si="12"/>
        <v>Global Protection Corp.</v>
      </c>
      <c r="F41" s="8" t="str">
        <f>"L8835C"</f>
        <v>L8835C</v>
      </c>
      <c r="G41" s="4" t="str">
        <f t="shared" si="8"/>
        <v>Case</v>
      </c>
      <c r="H41" s="4" t="str">
        <f t="shared" si="13"/>
        <v>Regular Size</v>
      </c>
      <c r="I41" s="4" t="str">
        <f>"L8835C"</f>
        <v>L8835C</v>
      </c>
      <c r="J41" s="8" t="str">
        <f t="shared" si="14"/>
        <v>Regular Size</v>
      </c>
      <c r="K41" s="8" t="str">
        <f t="shared" si="9"/>
        <v>1000</v>
      </c>
      <c r="L41" s="4" t="str">
        <f t="shared" si="10"/>
        <v>Case</v>
      </c>
    </row>
    <row r="42" spans="1:12" x14ac:dyDescent="0.35">
      <c r="A42" s="4" t="str">
        <f>"39"</f>
        <v>39</v>
      </c>
      <c r="B42" s="4" t="s">
        <v>44</v>
      </c>
      <c r="C42" s="4" t="str">
        <f t="shared" si="11"/>
        <v>1.0</v>
      </c>
      <c r="D42" s="5">
        <v>58</v>
      </c>
      <c r="E42" s="4" t="str">
        <f t="shared" si="12"/>
        <v>Global Protection Corp.</v>
      </c>
      <c r="F42" s="8" t="str">
        <f>"L8901C "</f>
        <v xml:space="preserve">L8901C </v>
      </c>
      <c r="G42" s="4" t="str">
        <f t="shared" si="8"/>
        <v>Case</v>
      </c>
      <c r="H42" s="4" t="str">
        <f t="shared" si="13"/>
        <v>Regular Size</v>
      </c>
      <c r="I42" s="4" t="str">
        <f>"L8901C "</f>
        <v xml:space="preserve">L8901C </v>
      </c>
      <c r="J42" s="8" t="str">
        <f t="shared" si="14"/>
        <v>Regular Size</v>
      </c>
      <c r="K42" s="8" t="str">
        <f t="shared" si="9"/>
        <v>1000</v>
      </c>
      <c r="L42" s="4" t="str">
        <f t="shared" si="10"/>
        <v>Case</v>
      </c>
    </row>
    <row r="43" spans="1:12" x14ac:dyDescent="0.35">
      <c r="A43" s="4" t="str">
        <f>"40"</f>
        <v>40</v>
      </c>
      <c r="B43" s="4" t="s">
        <v>45</v>
      </c>
      <c r="C43" s="4" t="str">
        <f t="shared" si="11"/>
        <v>1.0</v>
      </c>
      <c r="D43" s="5">
        <v>61</v>
      </c>
      <c r="E43" s="4" t="str">
        <f t="shared" si="12"/>
        <v>Global Protection Corp.</v>
      </c>
      <c r="F43" s="8" t="str">
        <f>"L8905C "</f>
        <v xml:space="preserve">L8905C </v>
      </c>
      <c r="G43" s="4" t="str">
        <f t="shared" si="8"/>
        <v>Case</v>
      </c>
      <c r="H43" s="4" t="str">
        <f>"Extra Large Size"</f>
        <v>Extra Large Size</v>
      </c>
      <c r="I43" s="4" t="str">
        <f>"L8905C "</f>
        <v xml:space="preserve">L8905C </v>
      </c>
      <c r="J43" s="8" t="str">
        <f>"Extra Large Size"</f>
        <v>Extra Large Size</v>
      </c>
      <c r="K43" s="8" t="str">
        <f t="shared" si="9"/>
        <v>1000</v>
      </c>
      <c r="L43" s="4" t="str">
        <f t="shared" si="10"/>
        <v>Case</v>
      </c>
    </row>
    <row r="44" spans="1:12" x14ac:dyDescent="0.35">
      <c r="A44" s="4" t="str">
        <f>"41"</f>
        <v>41</v>
      </c>
      <c r="B44" s="4" t="s">
        <v>46</v>
      </c>
      <c r="C44" s="4" t="str">
        <f t="shared" si="11"/>
        <v>1.0</v>
      </c>
      <c r="D44" s="5">
        <v>56</v>
      </c>
      <c r="E44" s="4" t="str">
        <f t="shared" si="12"/>
        <v>Global Protection Corp.</v>
      </c>
      <c r="F44" s="8" t="str">
        <f>"L8907C"</f>
        <v>L8907C</v>
      </c>
      <c r="G44" s="4" t="str">
        <f t="shared" si="8"/>
        <v>Case</v>
      </c>
      <c r="H44" s="4" t="str">
        <f>"Extra Large Size"</f>
        <v>Extra Large Size</v>
      </c>
      <c r="I44" s="4" t="str">
        <f>"L8907C"</f>
        <v>L8907C</v>
      </c>
      <c r="J44" s="8" t="str">
        <f>"Extra Large Size"</f>
        <v>Extra Large Size</v>
      </c>
      <c r="K44" s="8" t="str">
        <f t="shared" si="9"/>
        <v>1000</v>
      </c>
      <c r="L44" s="4" t="str">
        <f t="shared" si="10"/>
        <v>Case</v>
      </c>
    </row>
    <row r="45" spans="1:12" x14ac:dyDescent="0.35">
      <c r="A45" s="4" t="str">
        <f>"42"</f>
        <v>42</v>
      </c>
      <c r="B45" s="4" t="s">
        <v>47</v>
      </c>
      <c r="C45" s="4" t="str">
        <f t="shared" si="11"/>
        <v>1.0</v>
      </c>
      <c r="D45" s="5">
        <v>40.25</v>
      </c>
      <c r="E45" s="4" t="str">
        <f t="shared" si="12"/>
        <v>Global Protection Corp.</v>
      </c>
      <c r="F45" s="8" t="str">
        <f>"NV1001C"</f>
        <v>NV1001C</v>
      </c>
      <c r="G45" s="4" t="str">
        <f t="shared" si="8"/>
        <v>Case</v>
      </c>
      <c r="H45" s="4" t="str">
        <f>"Snugger Fit      "</f>
        <v xml:space="preserve">Snugger Fit      </v>
      </c>
      <c r="I45" s="4" t="str">
        <f>"NV1001C"</f>
        <v>NV1001C</v>
      </c>
      <c r="J45" s="8" t="str">
        <f>"Snugger Fit      "</f>
        <v xml:space="preserve">Snugger Fit      </v>
      </c>
      <c r="K45" s="8" t="str">
        <f t="shared" si="9"/>
        <v>1000</v>
      </c>
      <c r="L45" s="4" t="str">
        <f t="shared" si="10"/>
        <v>Case</v>
      </c>
    </row>
    <row r="46" spans="1:12" x14ac:dyDescent="0.35">
      <c r="A46" s="4" t="str">
        <f>"43"</f>
        <v>43</v>
      </c>
      <c r="B46" s="4" t="s">
        <v>48</v>
      </c>
      <c r="C46" s="4" t="str">
        <f t="shared" si="11"/>
        <v>1.0</v>
      </c>
      <c r="D46" s="5">
        <v>41.5</v>
      </c>
      <c r="E46" s="4" t="str">
        <f t="shared" si="12"/>
        <v>Global Protection Corp.</v>
      </c>
      <c r="F46" s="8" t="str">
        <f>"NV201C"</f>
        <v>NV201C</v>
      </c>
      <c r="G46" s="4" t="str">
        <f t="shared" si="8"/>
        <v>Case</v>
      </c>
      <c r="H46" s="4" t="str">
        <f>"Regular Size"</f>
        <v>Regular Size</v>
      </c>
      <c r="I46" s="4" t="str">
        <f>"NV201C"</f>
        <v>NV201C</v>
      </c>
      <c r="J46" s="8" t="str">
        <f>"Regular Size"</f>
        <v>Regular Size</v>
      </c>
      <c r="K46" s="8" t="str">
        <f t="shared" si="9"/>
        <v>1000</v>
      </c>
      <c r="L46" s="4" t="str">
        <f t="shared" si="10"/>
        <v>Case</v>
      </c>
    </row>
    <row r="47" spans="1:12" x14ac:dyDescent="0.35">
      <c r="A47" s="4" t="str">
        <f>"44"</f>
        <v>44</v>
      </c>
      <c r="B47" s="4" t="s">
        <v>49</v>
      </c>
      <c r="C47" s="4" t="str">
        <f t="shared" si="11"/>
        <v>1.0</v>
      </c>
      <c r="D47" s="5">
        <v>47.8</v>
      </c>
      <c r="E47" s="4" t="str">
        <f t="shared" si="12"/>
        <v>Global Protection Corp.</v>
      </c>
      <c r="F47" s="8" t="str">
        <f>"NV301C"</f>
        <v>NV301C</v>
      </c>
      <c r="G47" s="4" t="str">
        <f t="shared" si="8"/>
        <v>Case</v>
      </c>
      <c r="H47" s="4" t="str">
        <f>"Regular Size"</f>
        <v>Regular Size</v>
      </c>
      <c r="I47" s="4" t="str">
        <f>"NV301C"</f>
        <v>NV301C</v>
      </c>
      <c r="J47" s="8" t="str">
        <f>"Regular Size"</f>
        <v>Regular Size</v>
      </c>
      <c r="K47" s="8" t="str">
        <f t="shared" si="9"/>
        <v>1000</v>
      </c>
      <c r="L47" s="4" t="str">
        <f t="shared" si="10"/>
        <v>Case</v>
      </c>
    </row>
    <row r="48" spans="1:12" x14ac:dyDescent="0.35">
      <c r="A48" s="4" t="str">
        <f>"45"</f>
        <v>45</v>
      </c>
      <c r="B48" s="4" t="s">
        <v>50</v>
      </c>
      <c r="C48" s="4" t="str">
        <f t="shared" si="11"/>
        <v>1.0</v>
      </c>
      <c r="D48" s="5">
        <v>44.5</v>
      </c>
      <c r="E48" s="4" t="str">
        <f t="shared" si="12"/>
        <v>Global Protection Corp.</v>
      </c>
      <c r="F48" s="8" t="str">
        <f>"NV4001C"</f>
        <v>NV4001C</v>
      </c>
      <c r="G48" s="4" t="str">
        <f t="shared" si="8"/>
        <v>Case</v>
      </c>
      <c r="H48" s="4" t="str">
        <f>"Regular Size"</f>
        <v>Regular Size</v>
      </c>
      <c r="I48" s="4" t="str">
        <f>"NV4001C"</f>
        <v>NV4001C</v>
      </c>
      <c r="J48" s="8" t="str">
        <f>"Regular Size"</f>
        <v>Regular Size</v>
      </c>
      <c r="K48" s="8" t="str">
        <f t="shared" si="9"/>
        <v>1000</v>
      </c>
      <c r="L48" s="4" t="str">
        <f t="shared" si="10"/>
        <v>Case</v>
      </c>
    </row>
    <row r="49" spans="1:12" x14ac:dyDescent="0.35">
      <c r="A49" s="4" t="str">
        <f>"46"</f>
        <v>46</v>
      </c>
      <c r="B49" s="4" t="s">
        <v>51</v>
      </c>
      <c r="C49" s="4" t="str">
        <f t="shared" si="11"/>
        <v>1.0</v>
      </c>
      <c r="D49" s="5">
        <v>44.75</v>
      </c>
      <c r="E49" s="4" t="str">
        <f t="shared" si="12"/>
        <v>Global Protection Corp.</v>
      </c>
      <c r="F49" s="8" t="str">
        <f>"NV401C"</f>
        <v>NV401C</v>
      </c>
      <c r="G49" s="4" t="str">
        <f t="shared" si="8"/>
        <v>Case</v>
      </c>
      <c r="H49" s="4" t="str">
        <f>"Extra Large Size"</f>
        <v>Extra Large Size</v>
      </c>
      <c r="I49" s="4" t="str">
        <f>"NV401C"</f>
        <v>NV401C</v>
      </c>
      <c r="J49" s="8" t="str">
        <f>"Extra Large Size"</f>
        <v>Extra Large Size</v>
      </c>
      <c r="K49" s="8" t="str">
        <f t="shared" si="9"/>
        <v>1000</v>
      </c>
      <c r="L49" s="4" t="str">
        <f t="shared" si="10"/>
        <v>Case</v>
      </c>
    </row>
    <row r="50" spans="1:12" x14ac:dyDescent="0.35">
      <c r="A50" s="4" t="str">
        <f>"47"</f>
        <v>47</v>
      </c>
      <c r="B50" s="4" t="s">
        <v>52</v>
      </c>
      <c r="C50" s="4" t="str">
        <f t="shared" si="11"/>
        <v>1.0</v>
      </c>
      <c r="D50" s="5">
        <v>48</v>
      </c>
      <c r="E50" s="4" t="str">
        <f t="shared" si="12"/>
        <v>Global Protection Corp.</v>
      </c>
      <c r="F50" s="8" t="str">
        <f>"NV5001C"</f>
        <v>NV5001C</v>
      </c>
      <c r="G50" s="4" t="str">
        <f t="shared" si="8"/>
        <v>Case</v>
      </c>
      <c r="H50" s="4" t="str">
        <f>"Regular Size"</f>
        <v>Regular Size</v>
      </c>
      <c r="I50" s="4" t="str">
        <f>"NV5001C"</f>
        <v>NV5001C</v>
      </c>
      <c r="J50" s="8" t="str">
        <f>"Regular Size"</f>
        <v>Regular Size</v>
      </c>
      <c r="K50" s="8" t="str">
        <f t="shared" si="9"/>
        <v>1000</v>
      </c>
      <c r="L50" s="4" t="str">
        <f t="shared" si="10"/>
        <v>Case</v>
      </c>
    </row>
    <row r="51" spans="1:12" x14ac:dyDescent="0.35">
      <c r="A51" s="4" t="str">
        <f>"48"</f>
        <v>48</v>
      </c>
      <c r="B51" s="4" t="s">
        <v>53</v>
      </c>
      <c r="C51" s="4" t="str">
        <f t="shared" si="11"/>
        <v>1.0</v>
      </c>
      <c r="D51" s="5">
        <v>45.7</v>
      </c>
      <c r="E51" s="4" t="str">
        <f t="shared" si="12"/>
        <v>Global Protection Corp.</v>
      </c>
      <c r="F51" s="8" t="str">
        <f>"NV501C"</f>
        <v>NV501C</v>
      </c>
      <c r="G51" s="4" t="str">
        <f t="shared" si="8"/>
        <v>Case</v>
      </c>
      <c r="H51" s="4" t="str">
        <f>"Flavored"</f>
        <v>Flavored</v>
      </c>
      <c r="I51" s="4" t="str">
        <f>"NV501C"</f>
        <v>NV501C</v>
      </c>
      <c r="J51" s="8" t="str">
        <f>"Flavored"</f>
        <v>Flavored</v>
      </c>
      <c r="K51" s="8" t="str">
        <f t="shared" si="9"/>
        <v>1000</v>
      </c>
      <c r="L51" s="4" t="str">
        <f t="shared" si="10"/>
        <v>Case</v>
      </c>
    </row>
    <row r="52" spans="1:12" x14ac:dyDescent="0.35">
      <c r="A52" s="4" t="str">
        <f>"49"</f>
        <v>49</v>
      </c>
      <c r="B52" s="4" t="s">
        <v>54</v>
      </c>
      <c r="C52" s="4" t="str">
        <f t="shared" si="11"/>
        <v>1.0</v>
      </c>
      <c r="D52" s="5">
        <v>40.42</v>
      </c>
      <c r="E52" s="4" t="str">
        <f t="shared" si="12"/>
        <v>Global Protection Corp.</v>
      </c>
      <c r="F52" s="8" t="str">
        <f>"NV601C"</f>
        <v>NV601C</v>
      </c>
      <c r="G52" s="4" t="str">
        <f t="shared" si="8"/>
        <v>Case</v>
      </c>
      <c r="H52" s="4" t="str">
        <f>"Regular Size"</f>
        <v>Regular Size</v>
      </c>
      <c r="I52" s="4" t="str">
        <f>"NV601C"</f>
        <v>NV601C</v>
      </c>
      <c r="J52" s="8" t="str">
        <f>"Regular Size"</f>
        <v>Regular Size</v>
      </c>
      <c r="K52" s="8" t="str">
        <f t="shared" si="9"/>
        <v>1000</v>
      </c>
      <c r="L52" s="4" t="str">
        <f t="shared" si="10"/>
        <v>Case</v>
      </c>
    </row>
    <row r="53" spans="1:12" x14ac:dyDescent="0.35">
      <c r="A53" s="4" t="str">
        <f>"50"</f>
        <v>50</v>
      </c>
      <c r="B53" s="4" t="s">
        <v>55</v>
      </c>
      <c r="C53" s="4" t="str">
        <f t="shared" si="11"/>
        <v>1.0</v>
      </c>
      <c r="D53" s="5">
        <v>43.75</v>
      </c>
      <c r="E53" s="4" t="str">
        <f t="shared" si="12"/>
        <v>Global Protection Corp.</v>
      </c>
      <c r="F53" s="8" t="str">
        <f>"NV701C"</f>
        <v>NV701C</v>
      </c>
      <c r="G53" s="4" t="str">
        <f t="shared" si="8"/>
        <v>Case</v>
      </c>
      <c r="H53" s="4" t="str">
        <f>"Regular Size"</f>
        <v>Regular Size</v>
      </c>
      <c r="I53" s="4" t="str">
        <f>"NV701C"</f>
        <v>NV701C</v>
      </c>
      <c r="J53" s="8" t="str">
        <f>"Regular Size"</f>
        <v>Regular Size</v>
      </c>
      <c r="K53" s="8" t="str">
        <f t="shared" si="9"/>
        <v>1000</v>
      </c>
      <c r="L53" s="4" t="str">
        <f t="shared" si="10"/>
        <v>Case</v>
      </c>
    </row>
    <row r="54" spans="1:12" x14ac:dyDescent="0.35">
      <c r="A54" s="4" t="str">
        <f>"51"</f>
        <v>51</v>
      </c>
      <c r="B54" s="4" t="s">
        <v>56</v>
      </c>
      <c r="C54" s="4" t="str">
        <f t="shared" si="11"/>
        <v>1.0</v>
      </c>
      <c r="D54" s="5">
        <v>44.5</v>
      </c>
      <c r="E54" s="4" t="str">
        <f t="shared" si="12"/>
        <v>Global Protection Corp.</v>
      </c>
      <c r="F54" s="8" t="str">
        <f>"NV801C"</f>
        <v>NV801C</v>
      </c>
      <c r="G54" s="4" t="str">
        <f t="shared" si="8"/>
        <v>Case</v>
      </c>
      <c r="H54" s="4" t="str">
        <f>"Regular Size"</f>
        <v>Regular Size</v>
      </c>
      <c r="I54" s="4" t="str">
        <f>"NV801C"</f>
        <v>NV801C</v>
      </c>
      <c r="J54" s="8" t="str">
        <f>"Regular Size"</f>
        <v>Regular Size</v>
      </c>
      <c r="K54" s="8" t="str">
        <f t="shared" si="9"/>
        <v>1000</v>
      </c>
      <c r="L54" s="4" t="str">
        <f t="shared" si="10"/>
        <v>Case</v>
      </c>
    </row>
    <row r="55" spans="1:12" x14ac:dyDescent="0.35">
      <c r="A55" s="4" t="str">
        <f>"52"</f>
        <v>52</v>
      </c>
      <c r="B55" s="4" t="s">
        <v>57</v>
      </c>
      <c r="C55" s="4" t="str">
        <f t="shared" si="11"/>
        <v>1.0</v>
      </c>
      <c r="D55" s="5">
        <v>37.799999999999997</v>
      </c>
      <c r="E55" s="4" t="str">
        <f t="shared" si="12"/>
        <v>Global Protection Corp.</v>
      </c>
      <c r="F55" s="8" t="str">
        <f>"NV901C"</f>
        <v>NV901C</v>
      </c>
      <c r="G55" s="4" t="str">
        <f t="shared" si="8"/>
        <v>Case</v>
      </c>
      <c r="H55" s="4" t="str">
        <f>"Regular Size"</f>
        <v>Regular Size</v>
      </c>
      <c r="I55" s="4" t="str">
        <f>"NV901C"</f>
        <v>NV901C</v>
      </c>
      <c r="J55" s="8" t="str">
        <f>"Regular Size"</f>
        <v>Regular Size</v>
      </c>
      <c r="K55" s="8" t="str">
        <f t="shared" si="9"/>
        <v>1000</v>
      </c>
      <c r="L55" s="4" t="str">
        <f t="shared" si="10"/>
        <v>Case</v>
      </c>
    </row>
    <row r="56" spans="1:12" x14ac:dyDescent="0.35">
      <c r="A56" s="4" t="str">
        <f>"53"</f>
        <v>53</v>
      </c>
      <c r="B56" s="4" t="s">
        <v>58</v>
      </c>
      <c r="C56" s="4" t="str">
        <f t="shared" si="11"/>
        <v>1.0</v>
      </c>
      <c r="D56" s="5">
        <v>250</v>
      </c>
      <c r="E56" s="4" t="str">
        <f>"Church and Dwight"</f>
        <v>Church and Dwight</v>
      </c>
      <c r="F56" s="8" t="str">
        <f>"TEBULK"</f>
        <v>TEBULK</v>
      </c>
      <c r="G56" s="4" t="str">
        <f t="shared" si="8"/>
        <v>Case</v>
      </c>
      <c r="H56" s="4" t="str">
        <f>"Large Size"</f>
        <v>Large Size</v>
      </c>
      <c r="I56" s="4" t="str">
        <f>"TEBULK"</f>
        <v>TEBULK</v>
      </c>
      <c r="J56" s="8" t="str">
        <f>"Large Size"</f>
        <v>Large Size</v>
      </c>
      <c r="K56" s="8" t="str">
        <f t="shared" si="9"/>
        <v>1000</v>
      </c>
      <c r="L56" s="4" t="str">
        <f t="shared" si="10"/>
        <v>Case</v>
      </c>
    </row>
    <row r="57" spans="1:12" x14ac:dyDescent="0.35">
      <c r="A57" s="4" t="str">
        <f>"54"</f>
        <v>54</v>
      </c>
      <c r="B57" s="4" t="s">
        <v>59</v>
      </c>
      <c r="C57" s="4" t="str">
        <f t="shared" si="11"/>
        <v>1.0</v>
      </c>
      <c r="D57" s="5">
        <v>357</v>
      </c>
      <c r="E57" s="4" t="str">
        <f>"Church and Dwight"</f>
        <v>Church and Dwight</v>
      </c>
      <c r="F57" s="8" t="str">
        <f>"TMBULK"</f>
        <v>TMBULK</v>
      </c>
      <c r="G57" s="4" t="str">
        <f t="shared" si="8"/>
        <v>Case</v>
      </c>
      <c r="H57" s="4" t="str">
        <f>"Extra Large Size"</f>
        <v>Extra Large Size</v>
      </c>
      <c r="I57" s="4" t="str">
        <f>"TMBULK"</f>
        <v>TMBULK</v>
      </c>
      <c r="J57" s="8" t="str">
        <f>"Extra Large Size"</f>
        <v>Extra Large Size</v>
      </c>
      <c r="K57" s="8" t="str">
        <f t="shared" si="9"/>
        <v>1000</v>
      </c>
      <c r="L57" s="4" t="str">
        <f t="shared" si="10"/>
        <v>Case</v>
      </c>
    </row>
    <row r="58" spans="1:12" x14ac:dyDescent="0.35">
      <c r="A58" s="4" t="str">
        <f>"55"</f>
        <v>55</v>
      </c>
      <c r="B58" s="4" t="s">
        <v>60</v>
      </c>
      <c r="C58" s="4" t="str">
        <f t="shared" si="11"/>
        <v>1.0</v>
      </c>
      <c r="D58" s="5">
        <v>190</v>
      </c>
      <c r="E58" s="4" t="str">
        <f t="shared" ref="E58:E82" si="15">"Global Protection Corp."</f>
        <v>Global Protection Corp.</v>
      </c>
      <c r="F58" s="8" t="str">
        <f>"10SAM01 "</f>
        <v xml:space="preserve">10SAM01 </v>
      </c>
      <c r="G58" s="4" t="str">
        <f>"Box"</f>
        <v>Box</v>
      </c>
      <c r="H58" s="4" t="str">
        <f>"Kits"</f>
        <v>Kits</v>
      </c>
      <c r="I58" s="4" t="str">
        <f>"10SAM01 "</f>
        <v xml:space="preserve">10SAM01 </v>
      </c>
      <c r="J58" s="8" t="str">
        <f>"Kits"</f>
        <v>Kits</v>
      </c>
      <c r="K58" s="8" t="str">
        <f t="shared" ref="K58:K68" si="16">"1"</f>
        <v>1</v>
      </c>
      <c r="L58" s="4" t="str">
        <f>"Box"</f>
        <v>Box</v>
      </c>
    </row>
    <row r="59" spans="1:12" x14ac:dyDescent="0.35">
      <c r="A59" s="4" t="str">
        <f>"56"</f>
        <v>56</v>
      </c>
      <c r="B59" s="4" t="s">
        <v>61</v>
      </c>
      <c r="C59" s="4" t="str">
        <f t="shared" si="11"/>
        <v>1.0</v>
      </c>
      <c r="D59" s="5">
        <v>225</v>
      </c>
      <c r="E59" s="4" t="str">
        <f t="shared" si="15"/>
        <v>Global Protection Corp.</v>
      </c>
      <c r="F59" s="8" t="str">
        <f>"11SAM01"</f>
        <v>11SAM01</v>
      </c>
      <c r="G59" s="4" t="str">
        <f>"Box"</f>
        <v>Box</v>
      </c>
      <c r="H59" s="4" t="str">
        <f>"Kits"</f>
        <v>Kits</v>
      </c>
      <c r="I59" s="4" t="str">
        <f>"11SAM01"</f>
        <v>11SAM01</v>
      </c>
      <c r="J59" s="8" t="str">
        <f>"Kits"</f>
        <v>Kits</v>
      </c>
      <c r="K59" s="8" t="str">
        <f t="shared" si="16"/>
        <v>1</v>
      </c>
      <c r="L59" s="4" t="str">
        <f>"Box"</f>
        <v>Box</v>
      </c>
    </row>
    <row r="60" spans="1:12" x14ac:dyDescent="0.35">
      <c r="A60" s="4" t="str">
        <f>"57"</f>
        <v>57</v>
      </c>
      <c r="B60" s="4" t="s">
        <v>62</v>
      </c>
      <c r="C60" s="4" t="str">
        <f t="shared" si="11"/>
        <v>1.0</v>
      </c>
      <c r="D60" s="5">
        <v>8.5</v>
      </c>
      <c r="E60" s="4" t="str">
        <f t="shared" si="15"/>
        <v>Global Protection Corp.</v>
      </c>
      <c r="F60" s="8" t="str">
        <f>"L5181 "</f>
        <v xml:space="preserve">L5181 </v>
      </c>
      <c r="G60" s="4" t="str">
        <f t="shared" ref="G60:G67" si="17">"Each"</f>
        <v>Each</v>
      </c>
      <c r="H60" s="4" t="str">
        <f>"Demonstrators"</f>
        <v>Demonstrators</v>
      </c>
      <c r="I60" s="4" t="str">
        <f>"L5181 "</f>
        <v xml:space="preserve">L5181 </v>
      </c>
      <c r="J60" s="8" t="str">
        <f>"Demonstrators"</f>
        <v>Demonstrators</v>
      </c>
      <c r="K60" s="8" t="str">
        <f t="shared" si="16"/>
        <v>1</v>
      </c>
      <c r="L60" s="4" t="str">
        <f t="shared" ref="L60:L67" si="18">"Each"</f>
        <v>Each</v>
      </c>
    </row>
    <row r="61" spans="1:12" x14ac:dyDescent="0.35">
      <c r="A61" s="4" t="str">
        <f>"58"</f>
        <v>58</v>
      </c>
      <c r="B61" s="4" t="s">
        <v>63</v>
      </c>
      <c r="C61" s="4" t="str">
        <f t="shared" si="11"/>
        <v>1.0</v>
      </c>
      <c r="D61" s="5">
        <v>8.5</v>
      </c>
      <c r="E61" s="4" t="str">
        <f t="shared" si="15"/>
        <v>Global Protection Corp.</v>
      </c>
      <c r="F61" s="8" t="str">
        <f>"L5182"</f>
        <v>L5182</v>
      </c>
      <c r="G61" s="4" t="str">
        <f t="shared" si="17"/>
        <v>Each</v>
      </c>
      <c r="H61" s="4" t="str">
        <f>"Demonstrators"</f>
        <v>Demonstrators</v>
      </c>
      <c r="I61" s="4" t="str">
        <f>"L5182"</f>
        <v>L5182</v>
      </c>
      <c r="J61" s="8" t="str">
        <f>"Demonstrators"</f>
        <v>Demonstrators</v>
      </c>
      <c r="K61" s="8" t="str">
        <f t="shared" si="16"/>
        <v>1</v>
      </c>
      <c r="L61" s="4" t="str">
        <f t="shared" si="18"/>
        <v>Each</v>
      </c>
    </row>
    <row r="62" spans="1:12" x14ac:dyDescent="0.35">
      <c r="A62" s="4" t="str">
        <f>"59"</f>
        <v>59</v>
      </c>
      <c r="B62" s="4" t="s">
        <v>64</v>
      </c>
      <c r="C62" s="4" t="str">
        <f t="shared" si="11"/>
        <v>1.0</v>
      </c>
      <c r="D62" s="5">
        <v>8.5</v>
      </c>
      <c r="E62" s="4" t="str">
        <f t="shared" si="15"/>
        <v>Global Protection Corp.</v>
      </c>
      <c r="F62" s="8" t="str">
        <f>"L5183 "</f>
        <v xml:space="preserve">L5183 </v>
      </c>
      <c r="G62" s="4" t="str">
        <f t="shared" si="17"/>
        <v>Each</v>
      </c>
      <c r="H62" s="4" t="str">
        <f>"Demonstrators"</f>
        <v>Demonstrators</v>
      </c>
      <c r="I62" s="4" t="str">
        <f>"L5183 "</f>
        <v xml:space="preserve">L5183 </v>
      </c>
      <c r="J62" s="8" t="str">
        <f>"Demonstrators"</f>
        <v>Demonstrators</v>
      </c>
      <c r="K62" s="8" t="str">
        <f t="shared" si="16"/>
        <v>1</v>
      </c>
      <c r="L62" s="4" t="str">
        <f t="shared" si="18"/>
        <v>Each</v>
      </c>
    </row>
    <row r="63" spans="1:12" x14ac:dyDescent="0.35">
      <c r="A63" s="4" t="str">
        <f>"60"</f>
        <v>60</v>
      </c>
      <c r="B63" s="4" t="s">
        <v>65</v>
      </c>
      <c r="C63" s="4" t="str">
        <f t="shared" si="11"/>
        <v>1.0</v>
      </c>
      <c r="D63" s="5">
        <v>8.5</v>
      </c>
      <c r="E63" s="4" t="str">
        <f t="shared" si="15"/>
        <v>Global Protection Corp.</v>
      </c>
      <c r="F63" s="8" t="str">
        <f>"L5184 "</f>
        <v xml:space="preserve">L5184 </v>
      </c>
      <c r="G63" s="4" t="str">
        <f t="shared" si="17"/>
        <v>Each</v>
      </c>
      <c r="H63" s="4" t="str">
        <f>"Demonstrators"</f>
        <v>Demonstrators</v>
      </c>
      <c r="I63" s="4" t="str">
        <f>"L5184 "</f>
        <v xml:space="preserve">L5184 </v>
      </c>
      <c r="J63" s="8" t="str">
        <f>"Demonstrators"</f>
        <v>Demonstrators</v>
      </c>
      <c r="K63" s="8" t="str">
        <f t="shared" si="16"/>
        <v>1</v>
      </c>
      <c r="L63" s="4" t="str">
        <f t="shared" si="18"/>
        <v>Each</v>
      </c>
    </row>
    <row r="64" spans="1:12" x14ac:dyDescent="0.35">
      <c r="A64" s="4" t="str">
        <f>"61"</f>
        <v>61</v>
      </c>
      <c r="B64" s="4" t="s">
        <v>66</v>
      </c>
      <c r="C64" s="4" t="str">
        <f t="shared" si="11"/>
        <v>1.0</v>
      </c>
      <c r="D64" s="5">
        <v>16</v>
      </c>
      <c r="E64" s="4" t="str">
        <f t="shared" si="15"/>
        <v>Global Protection Corp.</v>
      </c>
      <c r="F64" s="8" t="str">
        <f>"VR1528L "</f>
        <v xml:space="preserve">VR1528L </v>
      </c>
      <c r="G64" s="4" t="str">
        <f t="shared" si="17"/>
        <v>Each</v>
      </c>
      <c r="H64" s="4" t="str">
        <f>"Charts"</f>
        <v>Charts</v>
      </c>
      <c r="I64" s="4" t="str">
        <f>"VR1528L "</f>
        <v xml:space="preserve">VR1528L </v>
      </c>
      <c r="J64" s="8" t="str">
        <f>"Charts"</f>
        <v>Charts</v>
      </c>
      <c r="K64" s="8" t="str">
        <f t="shared" si="16"/>
        <v>1</v>
      </c>
      <c r="L64" s="4" t="str">
        <f t="shared" si="18"/>
        <v>Each</v>
      </c>
    </row>
    <row r="65" spans="1:12" x14ac:dyDescent="0.35">
      <c r="A65" s="4" t="str">
        <f>"62"</f>
        <v>62</v>
      </c>
      <c r="B65" s="4" t="s">
        <v>67</v>
      </c>
      <c r="C65" s="4" t="str">
        <f t="shared" si="11"/>
        <v>1.0</v>
      </c>
      <c r="D65" s="5">
        <v>16</v>
      </c>
      <c r="E65" s="4" t="str">
        <f t="shared" si="15"/>
        <v>Global Protection Corp.</v>
      </c>
      <c r="F65" s="8" t="str">
        <f>"VR1532L "</f>
        <v xml:space="preserve">VR1532L </v>
      </c>
      <c r="G65" s="4" t="str">
        <f t="shared" si="17"/>
        <v>Each</v>
      </c>
      <c r="H65" s="4" t="str">
        <f>"Charts"</f>
        <v>Charts</v>
      </c>
      <c r="I65" s="4" t="str">
        <f>"VR1532L "</f>
        <v xml:space="preserve">VR1532L </v>
      </c>
      <c r="J65" s="8" t="str">
        <f>"Charts"</f>
        <v>Charts</v>
      </c>
      <c r="K65" s="8" t="str">
        <f t="shared" si="16"/>
        <v>1</v>
      </c>
      <c r="L65" s="4" t="str">
        <f t="shared" si="18"/>
        <v>Each</v>
      </c>
    </row>
    <row r="66" spans="1:12" x14ac:dyDescent="0.35">
      <c r="A66" s="4" t="str">
        <f>"63"</f>
        <v>63</v>
      </c>
      <c r="B66" s="4" t="s">
        <v>68</v>
      </c>
      <c r="C66" s="4" t="str">
        <f t="shared" si="11"/>
        <v>1.0</v>
      </c>
      <c r="D66" s="5">
        <v>16</v>
      </c>
      <c r="E66" s="4" t="str">
        <f t="shared" si="15"/>
        <v>Global Protection Corp.</v>
      </c>
      <c r="F66" s="8" t="str">
        <f>"VR1591L"</f>
        <v>VR1591L</v>
      </c>
      <c r="G66" s="4" t="str">
        <f t="shared" si="17"/>
        <v>Each</v>
      </c>
      <c r="H66" s="4" t="str">
        <f>"Charts"</f>
        <v>Charts</v>
      </c>
      <c r="I66" s="4" t="str">
        <f>"VR1591L"</f>
        <v>VR1591L</v>
      </c>
      <c r="J66" s="8" t="str">
        <f>"Charts"</f>
        <v>Charts</v>
      </c>
      <c r="K66" s="8" t="str">
        <f t="shared" si="16"/>
        <v>1</v>
      </c>
      <c r="L66" s="4" t="str">
        <f t="shared" si="18"/>
        <v>Each</v>
      </c>
    </row>
    <row r="67" spans="1:12" x14ac:dyDescent="0.35">
      <c r="A67" s="4" t="str">
        <f>"64"</f>
        <v>64</v>
      </c>
      <c r="B67" s="4" t="s">
        <v>69</v>
      </c>
      <c r="C67" s="4" t="str">
        <f t="shared" si="11"/>
        <v>1.0</v>
      </c>
      <c r="D67" s="5">
        <v>16</v>
      </c>
      <c r="E67" s="4" t="str">
        <f t="shared" si="15"/>
        <v>Global Protection Corp.</v>
      </c>
      <c r="F67" s="8" t="str">
        <f>"VR1725L "</f>
        <v xml:space="preserve">VR1725L </v>
      </c>
      <c r="G67" s="4" t="str">
        <f t="shared" si="17"/>
        <v>Each</v>
      </c>
      <c r="H67" s="4" t="str">
        <f>"Charts"</f>
        <v>Charts</v>
      </c>
      <c r="I67" s="4" t="str">
        <f>"VR1725L "</f>
        <v xml:space="preserve">VR1725L </v>
      </c>
      <c r="J67" s="8" t="str">
        <f>"Charts"</f>
        <v>Charts</v>
      </c>
      <c r="K67" s="8" t="str">
        <f t="shared" si="16"/>
        <v>1</v>
      </c>
      <c r="L67" s="4" t="str">
        <f t="shared" si="18"/>
        <v>Each</v>
      </c>
    </row>
    <row r="68" spans="1:12" x14ac:dyDescent="0.35">
      <c r="A68" s="4" t="str">
        <f>"65"</f>
        <v>65</v>
      </c>
      <c r="B68" s="4" t="s">
        <v>70</v>
      </c>
      <c r="C68" s="4" t="str">
        <f t="shared" ref="C68:C99" si="19">"1.0"</f>
        <v>1.0</v>
      </c>
      <c r="D68" s="5">
        <v>60</v>
      </c>
      <c r="E68" s="4" t="str">
        <f t="shared" si="15"/>
        <v>Global Protection Corp.</v>
      </c>
      <c r="F68" s="8" t="str">
        <f>"11PRIDEKIT-C"</f>
        <v>11PRIDEKIT-C</v>
      </c>
      <c r="G68" s="4" t="str">
        <f t="shared" ref="G68:G74" si="20">"Case"</f>
        <v>Case</v>
      </c>
      <c r="H68" s="4" t="str">
        <f>"Kits"</f>
        <v>Kits</v>
      </c>
      <c r="I68" s="4" t="str">
        <f>"11PRIDEKIT-C"</f>
        <v>11PRIDEKIT-C</v>
      </c>
      <c r="J68" s="8" t="str">
        <f>"Kits"</f>
        <v>Kits</v>
      </c>
      <c r="K68" s="8" t="str">
        <f t="shared" si="16"/>
        <v>1</v>
      </c>
      <c r="L68" s="4" t="str">
        <f t="shared" ref="L68:L74" si="21">"Case"</f>
        <v>Case</v>
      </c>
    </row>
    <row r="69" spans="1:12" x14ac:dyDescent="0.35">
      <c r="A69" s="4" t="str">
        <f>"66"</f>
        <v>66</v>
      </c>
      <c r="B69" s="4" t="s">
        <v>71</v>
      </c>
      <c r="C69" s="4" t="str">
        <f t="shared" si="19"/>
        <v>1.0</v>
      </c>
      <c r="D69" s="5">
        <v>40</v>
      </c>
      <c r="E69" s="4" t="str">
        <f t="shared" si="15"/>
        <v>Global Protection Corp.</v>
      </c>
      <c r="F69" s="8" t="str">
        <f>"11L100C"</f>
        <v>11L100C</v>
      </c>
      <c r="G69" s="4" t="str">
        <f t="shared" si="20"/>
        <v>Case</v>
      </c>
      <c r="H69" s="4" t="str">
        <f>"Water-based"</f>
        <v>Water-based</v>
      </c>
      <c r="I69" s="4" t="str">
        <f>"11L100C"</f>
        <v>11L100C</v>
      </c>
      <c r="J69" s="8" t="str">
        <f>"Water-based"</f>
        <v>Water-based</v>
      </c>
      <c r="K69" s="8" t="str">
        <f>"500"</f>
        <v>500</v>
      </c>
      <c r="L69" s="4" t="str">
        <f t="shared" si="21"/>
        <v>Case</v>
      </c>
    </row>
    <row r="70" spans="1:12" x14ac:dyDescent="0.35">
      <c r="A70" s="4" t="str">
        <f>"67"</f>
        <v>67</v>
      </c>
      <c r="B70" s="4" t="s">
        <v>72</v>
      </c>
      <c r="C70" s="4" t="str">
        <f t="shared" si="19"/>
        <v>1.0</v>
      </c>
      <c r="D70" s="5">
        <v>90</v>
      </c>
      <c r="E70" s="4" t="str">
        <f t="shared" si="15"/>
        <v>Global Protection Corp.</v>
      </c>
      <c r="F70" s="8" t="str">
        <f>"11L102C"</f>
        <v>11L102C</v>
      </c>
      <c r="G70" s="4" t="str">
        <f t="shared" si="20"/>
        <v>Case</v>
      </c>
      <c r="H70" s="4" t="str">
        <f>"Water-based"</f>
        <v>Water-based</v>
      </c>
      <c r="I70" s="4" t="str">
        <f>"11L102C"</f>
        <v>11L102C</v>
      </c>
      <c r="J70" s="8" t="str">
        <f>"Water-based"</f>
        <v>Water-based</v>
      </c>
      <c r="K70" s="8" t="str">
        <f>"1000"</f>
        <v>1000</v>
      </c>
      <c r="L70" s="4" t="str">
        <f t="shared" si="21"/>
        <v>Case</v>
      </c>
    </row>
    <row r="71" spans="1:12" x14ac:dyDescent="0.35">
      <c r="A71" s="4" t="str">
        <f>"68"</f>
        <v>68</v>
      </c>
      <c r="B71" s="4" t="s">
        <v>73</v>
      </c>
      <c r="C71" s="4" t="str">
        <f t="shared" si="19"/>
        <v>1.0</v>
      </c>
      <c r="D71" s="5">
        <v>60</v>
      </c>
      <c r="E71" s="4" t="str">
        <f t="shared" si="15"/>
        <v>Global Protection Corp.</v>
      </c>
      <c r="F71" s="8" t="str">
        <f>"11L200C"</f>
        <v>11L200C</v>
      </c>
      <c r="G71" s="4" t="str">
        <f t="shared" si="20"/>
        <v>Case</v>
      </c>
      <c r="H71" s="4" t="str">
        <f>"Silicone"</f>
        <v>Silicone</v>
      </c>
      <c r="I71" s="4" t="str">
        <f>"11L200C"</f>
        <v>11L200C</v>
      </c>
      <c r="J71" s="8" t="str">
        <f>"Silicone"</f>
        <v>Silicone</v>
      </c>
      <c r="K71" s="8" t="str">
        <f>"500"</f>
        <v>500</v>
      </c>
      <c r="L71" s="4" t="str">
        <f t="shared" si="21"/>
        <v>Case</v>
      </c>
    </row>
    <row r="72" spans="1:12" x14ac:dyDescent="0.35">
      <c r="A72" s="4" t="str">
        <f>"69"</f>
        <v>69</v>
      </c>
      <c r="B72" s="4" t="s">
        <v>74</v>
      </c>
      <c r="C72" s="4" t="str">
        <f t="shared" si="19"/>
        <v>1.0</v>
      </c>
      <c r="D72" s="5">
        <v>95</v>
      </c>
      <c r="E72" s="4" t="str">
        <f t="shared" si="15"/>
        <v>Global Protection Corp.</v>
      </c>
      <c r="F72" s="8" t="str">
        <f>"11L400C"</f>
        <v>11L400C</v>
      </c>
      <c r="G72" s="4" t="str">
        <f t="shared" si="20"/>
        <v>Case</v>
      </c>
      <c r="H72" s="4" t="str">
        <f>"Hybrid"</f>
        <v>Hybrid</v>
      </c>
      <c r="I72" s="4" t="str">
        <f>"11L400C"</f>
        <v>11L400C</v>
      </c>
      <c r="J72" s="8" t="str">
        <f>"Hybrid"</f>
        <v>Hybrid</v>
      </c>
      <c r="K72" s="8" t="str">
        <f>"1000"</f>
        <v>1000</v>
      </c>
      <c r="L72" s="4" t="str">
        <f t="shared" si="21"/>
        <v>Case</v>
      </c>
    </row>
    <row r="73" spans="1:12" x14ac:dyDescent="0.35">
      <c r="A73" s="4" t="str">
        <f>"70"</f>
        <v>70</v>
      </c>
      <c r="B73" s="4" t="s">
        <v>75</v>
      </c>
      <c r="C73" s="4" t="str">
        <f t="shared" si="19"/>
        <v>1.0</v>
      </c>
      <c r="D73" s="5">
        <v>100</v>
      </c>
      <c r="E73" s="4" t="str">
        <f t="shared" si="15"/>
        <v>Global Protection Corp.</v>
      </c>
      <c r="F73" s="8" t="str">
        <f>"GCL200103"</f>
        <v>GCL200103</v>
      </c>
      <c r="G73" s="4" t="str">
        <f t="shared" si="20"/>
        <v>Case</v>
      </c>
      <c r="H73" s="4" t="str">
        <f>"Organic"</f>
        <v>Organic</v>
      </c>
      <c r="I73" s="4" t="str">
        <f>"GCL200103"</f>
        <v>GCL200103</v>
      </c>
      <c r="J73" s="8" t="str">
        <f>"Organic"</f>
        <v>Organic</v>
      </c>
      <c r="K73" s="8" t="str">
        <f>"1000"</f>
        <v>1000</v>
      </c>
      <c r="L73" s="4" t="str">
        <f t="shared" si="21"/>
        <v>Case</v>
      </c>
    </row>
    <row r="74" spans="1:12" x14ac:dyDescent="0.35">
      <c r="A74" s="4" t="str">
        <f>"71"</f>
        <v>71</v>
      </c>
      <c r="B74" s="4" t="s">
        <v>76</v>
      </c>
      <c r="C74" s="4" t="str">
        <f t="shared" si="19"/>
        <v>1.0</v>
      </c>
      <c r="D74" s="5">
        <v>80</v>
      </c>
      <c r="E74" s="4" t="str">
        <f t="shared" si="15"/>
        <v>Global Protection Corp.</v>
      </c>
      <c r="F74" s="8" t="str">
        <f>"L5500C"</f>
        <v>L5500C</v>
      </c>
      <c r="G74" s="4" t="str">
        <f t="shared" si="20"/>
        <v>Case</v>
      </c>
      <c r="H74" s="4" t="str">
        <f>"Water-based"</f>
        <v>Water-based</v>
      </c>
      <c r="I74" s="4" t="str">
        <f>"L5500C"</f>
        <v>L5500C</v>
      </c>
      <c r="J74" s="8" t="str">
        <f>"Water-based"</f>
        <v>Water-based</v>
      </c>
      <c r="K74" s="8" t="str">
        <f>"1000"</f>
        <v>1000</v>
      </c>
      <c r="L74" s="4" t="str">
        <f t="shared" si="21"/>
        <v>Case</v>
      </c>
    </row>
    <row r="75" spans="1:12" x14ac:dyDescent="0.35">
      <c r="A75" s="4" t="str">
        <f>"72"</f>
        <v>72</v>
      </c>
      <c r="B75" s="4" t="s">
        <v>77</v>
      </c>
      <c r="C75" s="4" t="str">
        <f t="shared" si="19"/>
        <v>1.0</v>
      </c>
      <c r="D75" s="5">
        <v>44</v>
      </c>
      <c r="E75" s="4" t="str">
        <f t="shared" si="15"/>
        <v>Global Protection Corp.</v>
      </c>
      <c r="F75" s="8" t="str">
        <f>"LGDMXU"</f>
        <v>LGDMXU</v>
      </c>
      <c r="G75" s="4" t="str">
        <f>"Box"</f>
        <v>Box</v>
      </c>
      <c r="H75" s="4" t="str">
        <f>"Flavored"</f>
        <v>Flavored</v>
      </c>
      <c r="I75" s="4" t="str">
        <f>"LGDMXU"</f>
        <v>LGDMXU</v>
      </c>
      <c r="J75" s="8" t="str">
        <f>"Flavored"</f>
        <v>Flavored</v>
      </c>
      <c r="K75" s="8" t="str">
        <f>"100"</f>
        <v>100</v>
      </c>
      <c r="L75" s="4" t="str">
        <f>"Box"</f>
        <v>Box</v>
      </c>
    </row>
    <row r="76" spans="1:12" x14ac:dyDescent="0.35">
      <c r="A76" s="4" t="str">
        <f>"73"</f>
        <v>73</v>
      </c>
      <c r="B76" s="4" t="s">
        <v>78</v>
      </c>
      <c r="C76" s="4" t="str">
        <f t="shared" si="19"/>
        <v>1.0</v>
      </c>
      <c r="D76" s="5">
        <v>44</v>
      </c>
      <c r="E76" s="4" t="str">
        <f t="shared" si="15"/>
        <v>Global Protection Corp.</v>
      </c>
      <c r="F76" s="8" t="str">
        <f>"LGDUU"</f>
        <v>LGDUU</v>
      </c>
      <c r="G76" s="4" t="str">
        <f>"Box"</f>
        <v>Box</v>
      </c>
      <c r="H76" s="4" t="str">
        <f>"Unflavored"</f>
        <v>Unflavored</v>
      </c>
      <c r="I76" s="4" t="str">
        <f>"LGDUU"</f>
        <v>LGDUU</v>
      </c>
      <c r="J76" s="8" t="str">
        <f>"Unflavored"</f>
        <v>Unflavored</v>
      </c>
      <c r="K76" s="8" t="str">
        <f>"100"</f>
        <v>100</v>
      </c>
      <c r="L76" s="4" t="str">
        <f>"Box"</f>
        <v>Box</v>
      </c>
    </row>
    <row r="77" spans="1:12" x14ac:dyDescent="0.35">
      <c r="A77" s="4" t="str">
        <f>"74"</f>
        <v>74</v>
      </c>
      <c r="B77" s="4" t="s">
        <v>79</v>
      </c>
      <c r="C77" s="4" t="str">
        <f t="shared" si="19"/>
        <v>1.0</v>
      </c>
      <c r="D77" s="5">
        <v>2.25</v>
      </c>
      <c r="E77" s="4" t="str">
        <f t="shared" si="15"/>
        <v>Global Protection Corp.</v>
      </c>
      <c r="F77" s="8" t="str">
        <f>"020305U "</f>
        <v xml:space="preserve">020305U </v>
      </c>
      <c r="G77" s="4" t="str">
        <f>"Pack"</f>
        <v>Pack</v>
      </c>
      <c r="H77" s="4" t="str">
        <f>"Bags"</f>
        <v>Bags</v>
      </c>
      <c r="I77" s="4" t="str">
        <f>"020305U "</f>
        <v xml:space="preserve">020305U </v>
      </c>
      <c r="J77" s="8" t="str">
        <f>"Bags"</f>
        <v>Bags</v>
      </c>
      <c r="K77" s="8" t="str">
        <f>"100"</f>
        <v>100</v>
      </c>
      <c r="L77" s="4" t="str">
        <f>"Pack"</f>
        <v>Pack</v>
      </c>
    </row>
    <row r="78" spans="1:12" x14ac:dyDescent="0.35">
      <c r="A78" s="4" t="str">
        <f>"75"</f>
        <v>75</v>
      </c>
      <c r="B78" s="4" t="s">
        <v>80</v>
      </c>
      <c r="C78" s="4" t="str">
        <f t="shared" si="19"/>
        <v>1.0</v>
      </c>
      <c r="D78" s="5">
        <v>2.75</v>
      </c>
      <c r="E78" s="4" t="str">
        <f t="shared" si="15"/>
        <v>Global Protection Corp.</v>
      </c>
      <c r="F78" s="8" t="str">
        <f>"020407U "</f>
        <v xml:space="preserve">020407U </v>
      </c>
      <c r="G78" s="4" t="str">
        <f>"Pack"</f>
        <v>Pack</v>
      </c>
      <c r="H78" s="4" t="str">
        <f>"Bags"</f>
        <v>Bags</v>
      </c>
      <c r="I78" s="4" t="str">
        <f>"020407U "</f>
        <v xml:space="preserve">020407U </v>
      </c>
      <c r="J78" s="8" t="str">
        <f>"Bags"</f>
        <v>Bags</v>
      </c>
      <c r="K78" s="8" t="str">
        <f>"100"</f>
        <v>100</v>
      </c>
      <c r="L78" s="4" t="str">
        <f>"Pack"</f>
        <v>Pack</v>
      </c>
    </row>
    <row r="79" spans="1:12" x14ac:dyDescent="0.35">
      <c r="A79" s="4" t="str">
        <f>"76"</f>
        <v>76</v>
      </c>
      <c r="B79" s="4" t="s">
        <v>81</v>
      </c>
      <c r="C79" s="4" t="str">
        <f t="shared" si="19"/>
        <v>1.0</v>
      </c>
      <c r="D79" s="5">
        <v>95</v>
      </c>
      <c r="E79" s="4" t="str">
        <f t="shared" si="15"/>
        <v>Global Protection Corp.</v>
      </c>
      <c r="F79" s="8" t="str">
        <f>"BD01"</f>
        <v>BD01</v>
      </c>
      <c r="G79" s="4" t="str">
        <f>"Each"</f>
        <v>Each</v>
      </c>
      <c r="H79" s="4" t="str">
        <f>"Dispensers"</f>
        <v>Dispensers</v>
      </c>
      <c r="I79" s="4" t="str">
        <f>"BD01"</f>
        <v>BD01</v>
      </c>
      <c r="J79" s="8" t="str">
        <f>"Dispensers"</f>
        <v>Dispensers</v>
      </c>
      <c r="K79" s="8" t="str">
        <f>"1"</f>
        <v>1</v>
      </c>
      <c r="L79" s="4" t="str">
        <f>"Each"</f>
        <v>Each</v>
      </c>
    </row>
    <row r="80" spans="1:12" x14ac:dyDescent="0.35">
      <c r="A80" s="4" t="str">
        <f>"77"</f>
        <v>77</v>
      </c>
      <c r="B80" s="4" t="s">
        <v>82</v>
      </c>
      <c r="C80" s="4" t="str">
        <f t="shared" si="19"/>
        <v>1.0</v>
      </c>
      <c r="D80" s="5">
        <v>135</v>
      </c>
      <c r="E80" s="4" t="str">
        <f t="shared" si="15"/>
        <v>Global Protection Corp.</v>
      </c>
      <c r="F80" s="8" t="str">
        <f>"BD02"</f>
        <v>BD02</v>
      </c>
      <c r="G80" s="4" t="str">
        <f>"Each"</f>
        <v>Each</v>
      </c>
      <c r="H80" s="4" t="str">
        <f>"Dispensers"</f>
        <v>Dispensers</v>
      </c>
      <c r="I80" s="4" t="str">
        <f>"BD02"</f>
        <v>BD02</v>
      </c>
      <c r="J80" s="8" t="str">
        <f>"Dispensers"</f>
        <v>Dispensers</v>
      </c>
      <c r="K80" s="8" t="str">
        <f>"1"</f>
        <v>1</v>
      </c>
      <c r="L80" s="4" t="str">
        <f>"Each"</f>
        <v>Each</v>
      </c>
    </row>
    <row r="81" spans="1:12" x14ac:dyDescent="0.35">
      <c r="A81" s="4" t="str">
        <f>"78"</f>
        <v>78</v>
      </c>
      <c r="B81" s="4" t="s">
        <v>83</v>
      </c>
      <c r="C81" s="4" t="str">
        <f t="shared" si="19"/>
        <v>1.0</v>
      </c>
      <c r="D81" s="5">
        <v>150</v>
      </c>
      <c r="E81" s="4" t="str">
        <f t="shared" si="15"/>
        <v>Global Protection Corp.</v>
      </c>
      <c r="F81" s="8" t="str">
        <f>"BD03"</f>
        <v>BD03</v>
      </c>
      <c r="G81" s="4" t="str">
        <f>"Each"</f>
        <v>Each</v>
      </c>
      <c r="H81" s="4" t="str">
        <f>"Dispensers"</f>
        <v>Dispensers</v>
      </c>
      <c r="I81" s="4" t="str">
        <f>"BD03"</f>
        <v>BD03</v>
      </c>
      <c r="J81" s="8" t="str">
        <f>"Dispensers"</f>
        <v>Dispensers</v>
      </c>
      <c r="K81" s="8" t="str">
        <f>"1"</f>
        <v>1</v>
      </c>
      <c r="L81" s="4" t="str">
        <f>"Each"</f>
        <v>Each</v>
      </c>
    </row>
    <row r="82" spans="1:12" x14ac:dyDescent="0.35">
      <c r="A82" s="4" t="str">
        <f>"79"</f>
        <v>79</v>
      </c>
      <c r="B82" s="4" t="s">
        <v>84</v>
      </c>
      <c r="C82" s="4" t="str">
        <f t="shared" si="19"/>
        <v>1.0</v>
      </c>
      <c r="D82" s="5">
        <v>3.15</v>
      </c>
      <c r="E82" s="4" t="str">
        <f t="shared" si="15"/>
        <v>Global Protection Corp.</v>
      </c>
      <c r="F82" s="8" t="str">
        <f>"R301U "</f>
        <v xml:space="preserve">R301U </v>
      </c>
      <c r="G82" s="4" t="str">
        <f>"Pack"</f>
        <v>Pack</v>
      </c>
      <c r="H82" s="4" t="str">
        <f>"Finger Cots"</f>
        <v>Finger Cots</v>
      </c>
      <c r="I82" s="4" t="str">
        <f>"R301U "</f>
        <v xml:space="preserve">R301U </v>
      </c>
      <c r="J82" s="8" t="str">
        <f>"Finger Cots"</f>
        <v>Finger Cots</v>
      </c>
      <c r="K82" s="8" t="str">
        <f>"144"</f>
        <v>144</v>
      </c>
      <c r="L82" s="4" t="str">
        <f>"Pack"</f>
        <v>Pack</v>
      </c>
    </row>
    <row r="83" spans="1:12" x14ac:dyDescent="0.35">
      <c r="A83" s="4" t="str">
        <f>"80"</f>
        <v>80</v>
      </c>
      <c r="B83" s="4" t="s">
        <v>85</v>
      </c>
      <c r="C83" s="4" t="str">
        <f t="shared" si="19"/>
        <v>1.0</v>
      </c>
      <c r="D83" s="5">
        <v>93</v>
      </c>
      <c r="E83" s="4" t="str">
        <f t="shared" ref="E83:E88" si="22">"Sxwell"</f>
        <v>Sxwell</v>
      </c>
      <c r="F83" s="8" t="str">
        <f>"A5400C"</f>
        <v>A5400C</v>
      </c>
      <c r="G83" s="4" t="str">
        <f>"Case"</f>
        <v>Case</v>
      </c>
      <c r="H83" s="4" t="str">
        <f>"Regular Size"</f>
        <v>Regular Size</v>
      </c>
      <c r="I83" s="4" t="str">
        <f>"A5400C"</f>
        <v>A5400C</v>
      </c>
      <c r="J83" s="8" t="str">
        <f>"Regular Size"</f>
        <v>Regular Size</v>
      </c>
      <c r="K83" s="8" t="str">
        <f>"1000"</f>
        <v>1000</v>
      </c>
      <c r="L83" s="4" t="str">
        <f>"Case"</f>
        <v>Case</v>
      </c>
    </row>
    <row r="84" spans="1:12" x14ac:dyDescent="0.35">
      <c r="A84" s="4" t="str">
        <f>"81"</f>
        <v>81</v>
      </c>
      <c r="B84" s="4" t="s">
        <v>86</v>
      </c>
      <c r="C84" s="4" t="str">
        <f t="shared" si="19"/>
        <v>1.0</v>
      </c>
      <c r="D84" s="5">
        <v>93</v>
      </c>
      <c r="E84" s="4" t="str">
        <f t="shared" si="22"/>
        <v>Sxwell</v>
      </c>
      <c r="F84" s="8" t="str">
        <f>"A5800C"</f>
        <v>A5800C</v>
      </c>
      <c r="G84" s="4" t="str">
        <f>"Case"</f>
        <v>Case</v>
      </c>
      <c r="H84" s="4" t="str">
        <f>"Regular Size"</f>
        <v>Regular Size</v>
      </c>
      <c r="I84" s="4" t="str">
        <f>"A5800C"</f>
        <v>A5800C</v>
      </c>
      <c r="J84" s="8" t="str">
        <f>"Regular Size"</f>
        <v>Regular Size</v>
      </c>
      <c r="K84" s="8" t="str">
        <f>"1000"</f>
        <v>1000</v>
      </c>
      <c r="L84" s="4" t="str">
        <f>"Case"</f>
        <v>Case</v>
      </c>
    </row>
    <row r="85" spans="1:12" x14ac:dyDescent="0.35">
      <c r="A85" s="4" t="str">
        <f>"82"</f>
        <v>82</v>
      </c>
      <c r="B85" s="4" t="s">
        <v>87</v>
      </c>
      <c r="C85" s="4" t="str">
        <f t="shared" si="19"/>
        <v>1.0</v>
      </c>
      <c r="D85" s="5">
        <v>360</v>
      </c>
      <c r="E85" s="4" t="str">
        <f t="shared" si="22"/>
        <v>Sxwell</v>
      </c>
      <c r="F85" s="8" t="str">
        <f>"A7800C"</f>
        <v>A7800C</v>
      </c>
      <c r="G85" s="4" t="str">
        <f>"Case"</f>
        <v>Case</v>
      </c>
      <c r="H85" s="4" t="str">
        <f>"Non Latex "</f>
        <v xml:space="preserve">Non Latex </v>
      </c>
      <c r="I85" s="4" t="str">
        <f>"A7800C"</f>
        <v>A7800C</v>
      </c>
      <c r="J85" s="8" t="str">
        <f>"Non Latex "</f>
        <v xml:space="preserve">Non Latex </v>
      </c>
      <c r="K85" s="8" t="str">
        <f>"1000"</f>
        <v>1000</v>
      </c>
      <c r="L85" s="4" t="str">
        <f>"Case"</f>
        <v>Case</v>
      </c>
    </row>
    <row r="86" spans="1:12" x14ac:dyDescent="0.35">
      <c r="A86" s="4" t="str">
        <f>"83"</f>
        <v>83</v>
      </c>
      <c r="B86" s="4" t="s">
        <v>88</v>
      </c>
      <c r="C86" s="4" t="str">
        <f t="shared" si="19"/>
        <v>1.0</v>
      </c>
      <c r="D86" s="5">
        <v>93</v>
      </c>
      <c r="E86" s="4" t="str">
        <f t="shared" si="22"/>
        <v>Sxwell</v>
      </c>
      <c r="F86" s="8" t="str">
        <f>"A7800U"</f>
        <v>A7800U</v>
      </c>
      <c r="G86" s="4" t="str">
        <f>"Bag"</f>
        <v>Bag</v>
      </c>
      <c r="H86" s="4" t="str">
        <f>"Non Latex "</f>
        <v xml:space="preserve">Non Latex </v>
      </c>
      <c r="I86" s="4" t="str">
        <f>"A7800U"</f>
        <v>A7800U</v>
      </c>
      <c r="J86" s="8" t="str">
        <f>"Non Latex "</f>
        <v xml:space="preserve">Non Latex </v>
      </c>
      <c r="K86" s="8" t="str">
        <f>"250"</f>
        <v>250</v>
      </c>
      <c r="L86" s="4" t="str">
        <f>"Bag"</f>
        <v>Bag</v>
      </c>
    </row>
    <row r="87" spans="1:12" x14ac:dyDescent="0.35">
      <c r="A87" s="4" t="str">
        <f>"84"</f>
        <v>84</v>
      </c>
      <c r="B87" s="4" t="s">
        <v>89</v>
      </c>
      <c r="C87" s="4" t="str">
        <f t="shared" si="19"/>
        <v>1.0</v>
      </c>
      <c r="D87" s="5">
        <v>93</v>
      </c>
      <c r="E87" s="4" t="str">
        <f t="shared" si="22"/>
        <v>Sxwell</v>
      </c>
      <c r="F87" s="8" t="str">
        <f>"A6400C"</f>
        <v>A6400C</v>
      </c>
      <c r="G87" s="4" t="str">
        <f>"Case"</f>
        <v>Case</v>
      </c>
      <c r="H87" s="4" t="str">
        <f>"Regular Size"</f>
        <v>Regular Size</v>
      </c>
      <c r="I87" s="4" t="str">
        <f>"A6400C"</f>
        <v>A6400C</v>
      </c>
      <c r="J87" s="8" t="str">
        <f>"Regular Size"</f>
        <v>Regular Size</v>
      </c>
      <c r="K87" s="8" t="str">
        <f>"1000"</f>
        <v>1000</v>
      </c>
      <c r="L87" s="4" t="str">
        <f>"Case"</f>
        <v>Case</v>
      </c>
    </row>
    <row r="88" spans="1:12" x14ac:dyDescent="0.35">
      <c r="A88" s="4" t="str">
        <f>"85"</f>
        <v>85</v>
      </c>
      <c r="B88" s="4" t="s">
        <v>90</v>
      </c>
      <c r="C88" s="4" t="str">
        <f t="shared" si="19"/>
        <v>1.0</v>
      </c>
      <c r="D88" s="5">
        <v>93</v>
      </c>
      <c r="E88" s="4" t="str">
        <f t="shared" si="22"/>
        <v>Sxwell</v>
      </c>
      <c r="F88" s="8" t="str">
        <f>"A9800C"</f>
        <v>A9800C</v>
      </c>
      <c r="G88" s="4" t="str">
        <f>"Case"</f>
        <v>Case</v>
      </c>
      <c r="H88" s="4" t="str">
        <f>"Extra Large Size"</f>
        <v>Extra Large Size</v>
      </c>
      <c r="I88" s="4" t="str">
        <f>"A9800C"</f>
        <v>A9800C</v>
      </c>
      <c r="J88" s="8" t="str">
        <f>"Extra Large Size"</f>
        <v>Extra Large Size</v>
      </c>
      <c r="K88" s="8" t="str">
        <f>"1000"</f>
        <v>1000</v>
      </c>
      <c r="L88" s="4" t="str">
        <f>"Case"</f>
        <v>Case</v>
      </c>
    </row>
    <row r="89" spans="1:12" x14ac:dyDescent="0.35">
      <c r="A89" s="4" t="str">
        <f>"86"</f>
        <v>86</v>
      </c>
      <c r="B89" s="4" t="s">
        <v>91</v>
      </c>
      <c r="C89" s="4" t="str">
        <f t="shared" si="19"/>
        <v>1.0</v>
      </c>
      <c r="D89" s="5">
        <v>13</v>
      </c>
      <c r="E89" s="4" t="str">
        <f t="shared" ref="E89:E102" si="23">"Global Protection Corp"</f>
        <v>Global Protection Corp</v>
      </c>
      <c r="F89" s="8" t="str">
        <f>"11000B"</f>
        <v>11000B</v>
      </c>
      <c r="G89" s="4" t="str">
        <f t="shared" ref="G89:G101" si="24">"Bowl"</f>
        <v>Bowl</v>
      </c>
      <c r="H89" s="4" t="str">
        <f t="shared" ref="H89:H98" si="25">"Regular Size"</f>
        <v>Regular Size</v>
      </c>
      <c r="I89" s="4" t="str">
        <f>"11000B"</f>
        <v>11000B</v>
      </c>
      <c r="J89" s="8" t="str">
        <f t="shared" ref="J89:J98" si="26">"Regular Size"</f>
        <v>Regular Size</v>
      </c>
      <c r="K89" s="8" t="str">
        <f t="shared" ref="K89:K101" si="27">"100"</f>
        <v>100</v>
      </c>
      <c r="L89" s="4" t="str">
        <f t="shared" ref="L89:L101" si="28">"Bowl"</f>
        <v>Bowl</v>
      </c>
    </row>
    <row r="90" spans="1:12" x14ac:dyDescent="0.35">
      <c r="A90" s="4" t="str">
        <f>"87"</f>
        <v>87</v>
      </c>
      <c r="B90" s="4" t="s">
        <v>92</v>
      </c>
      <c r="C90" s="4" t="str">
        <f t="shared" si="19"/>
        <v>1.0</v>
      </c>
      <c r="D90" s="5">
        <v>14</v>
      </c>
      <c r="E90" s="4" t="str">
        <f t="shared" si="23"/>
        <v>Global Protection Corp</v>
      </c>
      <c r="F90" s="8" t="str">
        <f>"11000BW"</f>
        <v>11000BW</v>
      </c>
      <c r="G90" s="4" t="str">
        <f t="shared" si="24"/>
        <v>Bowl</v>
      </c>
      <c r="H90" s="4" t="str">
        <f t="shared" si="25"/>
        <v>Regular Size</v>
      </c>
      <c r="I90" s="4" t="str">
        <f>"11000BW"</f>
        <v>11000BW</v>
      </c>
      <c r="J90" s="8" t="str">
        <f t="shared" si="26"/>
        <v>Regular Size</v>
      </c>
      <c r="K90" s="8" t="str">
        <f t="shared" si="27"/>
        <v>100</v>
      </c>
      <c r="L90" s="4" t="str">
        <f t="shared" si="28"/>
        <v>Bowl</v>
      </c>
    </row>
    <row r="91" spans="1:12" x14ac:dyDescent="0.35">
      <c r="A91" s="4" t="str">
        <f>"88"</f>
        <v>88</v>
      </c>
      <c r="B91" s="4" t="s">
        <v>93</v>
      </c>
      <c r="C91" s="4" t="str">
        <f t="shared" si="19"/>
        <v>1.0</v>
      </c>
      <c r="D91" s="5">
        <v>14</v>
      </c>
      <c r="E91" s="4" t="str">
        <f t="shared" si="23"/>
        <v>Global Protection Corp</v>
      </c>
      <c r="F91" s="8" t="str">
        <f>"11000BY"</f>
        <v>11000BY</v>
      </c>
      <c r="G91" s="4" t="str">
        <f t="shared" si="24"/>
        <v>Bowl</v>
      </c>
      <c r="H91" s="4" t="str">
        <f t="shared" si="25"/>
        <v>Regular Size</v>
      </c>
      <c r="I91" s="4" t="str">
        <f>"11000BY"</f>
        <v>11000BY</v>
      </c>
      <c r="J91" s="8" t="str">
        <f t="shared" si="26"/>
        <v>Regular Size</v>
      </c>
      <c r="K91" s="8" t="str">
        <f t="shared" si="27"/>
        <v>100</v>
      </c>
      <c r="L91" s="4" t="str">
        <f t="shared" si="28"/>
        <v>Bowl</v>
      </c>
    </row>
    <row r="92" spans="1:12" x14ac:dyDescent="0.35">
      <c r="A92" s="4" t="str">
        <f>"89"</f>
        <v>89</v>
      </c>
      <c r="B92" s="4" t="s">
        <v>94</v>
      </c>
      <c r="C92" s="4" t="str">
        <f t="shared" si="19"/>
        <v>1.0</v>
      </c>
      <c r="D92" s="5">
        <v>14</v>
      </c>
      <c r="E92" s="4" t="str">
        <f t="shared" si="23"/>
        <v>Global Protection Corp</v>
      </c>
      <c r="F92" s="8" t="str">
        <f>"11000BZ"</f>
        <v>11000BZ</v>
      </c>
      <c r="G92" s="4" t="str">
        <f t="shared" si="24"/>
        <v>Bowl</v>
      </c>
      <c r="H92" s="4" t="str">
        <f t="shared" si="25"/>
        <v>Regular Size</v>
      </c>
      <c r="I92" s="4" t="str">
        <f>"11000BZ"</f>
        <v>11000BZ</v>
      </c>
      <c r="J92" s="8" t="str">
        <f t="shared" si="26"/>
        <v>Regular Size</v>
      </c>
      <c r="K92" s="8" t="str">
        <f t="shared" si="27"/>
        <v>100</v>
      </c>
      <c r="L92" s="4" t="str">
        <f t="shared" si="28"/>
        <v>Bowl</v>
      </c>
    </row>
    <row r="93" spans="1:12" x14ac:dyDescent="0.35">
      <c r="A93" s="4" t="str">
        <f>"90"</f>
        <v>90</v>
      </c>
      <c r="B93" s="4" t="s">
        <v>95</v>
      </c>
      <c r="C93" s="4" t="str">
        <f t="shared" si="19"/>
        <v>1.0</v>
      </c>
      <c r="D93" s="5">
        <v>14</v>
      </c>
      <c r="E93" s="4" t="str">
        <f t="shared" si="23"/>
        <v>Global Protection Corp</v>
      </c>
      <c r="F93" s="8" t="str">
        <f>"11600B"</f>
        <v>11600B</v>
      </c>
      <c r="G93" s="4" t="str">
        <f t="shared" si="24"/>
        <v>Bowl</v>
      </c>
      <c r="H93" s="4" t="str">
        <f t="shared" si="25"/>
        <v>Regular Size</v>
      </c>
      <c r="I93" s="4" t="str">
        <f>"11600B"</f>
        <v>11600B</v>
      </c>
      <c r="J93" s="8" t="str">
        <f t="shared" si="26"/>
        <v>Regular Size</v>
      </c>
      <c r="K93" s="8" t="str">
        <f t="shared" si="27"/>
        <v>100</v>
      </c>
      <c r="L93" s="4" t="str">
        <f t="shared" si="28"/>
        <v>Bowl</v>
      </c>
    </row>
    <row r="94" spans="1:12" x14ac:dyDescent="0.35">
      <c r="A94" s="4" t="str">
        <f>"91"</f>
        <v>91</v>
      </c>
      <c r="B94" s="4" t="s">
        <v>96</v>
      </c>
      <c r="C94" s="4" t="str">
        <f t="shared" si="19"/>
        <v>1.0</v>
      </c>
      <c r="D94" s="5">
        <v>15</v>
      </c>
      <c r="E94" s="4" t="str">
        <f t="shared" si="23"/>
        <v>Global Protection Corp</v>
      </c>
      <c r="F94" s="8" t="str">
        <f>"110200B"</f>
        <v>110200B</v>
      </c>
      <c r="G94" s="4" t="str">
        <f t="shared" si="24"/>
        <v>Bowl</v>
      </c>
      <c r="H94" s="4" t="str">
        <f t="shared" si="25"/>
        <v>Regular Size</v>
      </c>
      <c r="I94" s="4" t="str">
        <f>"110200B"</f>
        <v>110200B</v>
      </c>
      <c r="J94" s="8" t="str">
        <f t="shared" si="26"/>
        <v>Regular Size</v>
      </c>
      <c r="K94" s="8" t="str">
        <f t="shared" si="27"/>
        <v>100</v>
      </c>
      <c r="L94" s="4" t="str">
        <f t="shared" si="28"/>
        <v>Bowl</v>
      </c>
    </row>
    <row r="95" spans="1:12" x14ac:dyDescent="0.35">
      <c r="A95" s="4" t="str">
        <f>"92"</f>
        <v>92</v>
      </c>
      <c r="B95" s="4" t="s">
        <v>97</v>
      </c>
      <c r="C95" s="4" t="str">
        <f t="shared" si="19"/>
        <v>1.0</v>
      </c>
      <c r="D95" s="5">
        <v>15</v>
      </c>
      <c r="E95" s="4" t="str">
        <f t="shared" si="23"/>
        <v>Global Protection Corp</v>
      </c>
      <c r="F95" s="8" t="str">
        <f>"111300B"</f>
        <v>111300B</v>
      </c>
      <c r="G95" s="4" t="str">
        <f t="shared" si="24"/>
        <v>Bowl</v>
      </c>
      <c r="H95" s="4" t="str">
        <f t="shared" si="25"/>
        <v>Regular Size</v>
      </c>
      <c r="I95" s="4" t="str">
        <f>"111300B"</f>
        <v>111300B</v>
      </c>
      <c r="J95" s="8" t="str">
        <f t="shared" si="26"/>
        <v>Regular Size</v>
      </c>
      <c r="K95" s="8" t="str">
        <f t="shared" si="27"/>
        <v>100</v>
      </c>
      <c r="L95" s="4" t="str">
        <f t="shared" si="28"/>
        <v>Bowl</v>
      </c>
    </row>
    <row r="96" spans="1:12" x14ac:dyDescent="0.35">
      <c r="A96" s="4" t="str">
        <f>"93"</f>
        <v>93</v>
      </c>
      <c r="B96" s="4" t="s">
        <v>98</v>
      </c>
      <c r="C96" s="4" t="str">
        <f t="shared" si="19"/>
        <v>1.0</v>
      </c>
      <c r="D96" s="5">
        <v>18</v>
      </c>
      <c r="E96" s="4" t="str">
        <f t="shared" si="23"/>
        <v>Global Protection Corp</v>
      </c>
      <c r="F96" s="8" t="str">
        <f>"11010B"</f>
        <v>11010B</v>
      </c>
      <c r="G96" s="4" t="str">
        <f t="shared" si="24"/>
        <v>Bowl</v>
      </c>
      <c r="H96" s="4" t="str">
        <f t="shared" si="25"/>
        <v>Regular Size</v>
      </c>
      <c r="I96" s="4" t="str">
        <f>"11010B"</f>
        <v>11010B</v>
      </c>
      <c r="J96" s="8" t="str">
        <f t="shared" si="26"/>
        <v>Regular Size</v>
      </c>
      <c r="K96" s="8" t="str">
        <f t="shared" si="27"/>
        <v>100</v>
      </c>
      <c r="L96" s="4" t="str">
        <f t="shared" si="28"/>
        <v>Bowl</v>
      </c>
    </row>
    <row r="97" spans="1:12" x14ac:dyDescent="0.35">
      <c r="A97" s="4" t="str">
        <f>"94"</f>
        <v>94</v>
      </c>
      <c r="B97" s="4" t="s">
        <v>99</v>
      </c>
      <c r="C97" s="4" t="str">
        <f t="shared" si="19"/>
        <v>1.0</v>
      </c>
      <c r="D97" s="5">
        <v>14</v>
      </c>
      <c r="E97" s="4" t="str">
        <f t="shared" si="23"/>
        <v>Global Protection Corp</v>
      </c>
      <c r="F97" s="8" t="str">
        <f>"11100B"</f>
        <v>11100B</v>
      </c>
      <c r="G97" s="4" t="str">
        <f t="shared" si="24"/>
        <v>Bowl</v>
      </c>
      <c r="H97" s="4" t="str">
        <f t="shared" si="25"/>
        <v>Regular Size</v>
      </c>
      <c r="I97" s="4" t="str">
        <f>"11100B"</f>
        <v>11100B</v>
      </c>
      <c r="J97" s="8" t="str">
        <f t="shared" si="26"/>
        <v>Regular Size</v>
      </c>
      <c r="K97" s="8" t="str">
        <f t="shared" si="27"/>
        <v>100</v>
      </c>
      <c r="L97" s="4" t="str">
        <f t="shared" si="28"/>
        <v>Bowl</v>
      </c>
    </row>
    <row r="98" spans="1:12" x14ac:dyDescent="0.35">
      <c r="A98" s="4" t="str">
        <f>"95"</f>
        <v>95</v>
      </c>
      <c r="B98" s="4" t="s">
        <v>100</v>
      </c>
      <c r="C98" s="4" t="str">
        <f t="shared" si="19"/>
        <v>1.0</v>
      </c>
      <c r="D98" s="5">
        <v>14</v>
      </c>
      <c r="E98" s="4" t="str">
        <f t="shared" si="23"/>
        <v>Global Protection Corp</v>
      </c>
      <c r="F98" s="8" t="str">
        <f>"11200B"</f>
        <v>11200B</v>
      </c>
      <c r="G98" s="4" t="str">
        <f t="shared" si="24"/>
        <v>Bowl</v>
      </c>
      <c r="H98" s="4" t="str">
        <f t="shared" si="25"/>
        <v>Regular Size</v>
      </c>
      <c r="I98" s="4" t="str">
        <f>"11200B"</f>
        <v>11200B</v>
      </c>
      <c r="J98" s="8" t="str">
        <f t="shared" si="26"/>
        <v>Regular Size</v>
      </c>
      <c r="K98" s="8" t="str">
        <f t="shared" si="27"/>
        <v>100</v>
      </c>
      <c r="L98" s="4" t="str">
        <f t="shared" si="28"/>
        <v>Bowl</v>
      </c>
    </row>
    <row r="99" spans="1:12" x14ac:dyDescent="0.35">
      <c r="A99" s="4" t="str">
        <f>"96"</f>
        <v>96</v>
      </c>
      <c r="B99" s="4" t="s">
        <v>101</v>
      </c>
      <c r="C99" s="4" t="str">
        <f t="shared" si="19"/>
        <v>1.0</v>
      </c>
      <c r="D99" s="5">
        <v>14</v>
      </c>
      <c r="E99" s="4" t="str">
        <f t="shared" si="23"/>
        <v>Global Protection Corp</v>
      </c>
      <c r="F99" s="8" t="str">
        <f>"11400B"</f>
        <v>11400B</v>
      </c>
      <c r="G99" s="4" t="str">
        <f t="shared" si="24"/>
        <v>Bowl</v>
      </c>
      <c r="H99" s="4" t="str">
        <f>"Extra Large Size"</f>
        <v>Extra Large Size</v>
      </c>
      <c r="I99" s="4" t="str">
        <f>"11400B"</f>
        <v>11400B</v>
      </c>
      <c r="J99" s="8" t="str">
        <f>"Extra Large Size"</f>
        <v>Extra Large Size</v>
      </c>
      <c r="K99" s="8" t="str">
        <f t="shared" si="27"/>
        <v>100</v>
      </c>
      <c r="L99" s="4" t="str">
        <f t="shared" si="28"/>
        <v>Bowl</v>
      </c>
    </row>
    <row r="100" spans="1:12" x14ac:dyDescent="0.35">
      <c r="A100" s="4" t="str">
        <f>"97"</f>
        <v>97</v>
      </c>
      <c r="B100" s="4" t="s">
        <v>102</v>
      </c>
      <c r="C100" s="4" t="str">
        <f t="shared" ref="C100:C115" si="29">"1.0"</f>
        <v>1.0</v>
      </c>
      <c r="D100" s="5">
        <v>24</v>
      </c>
      <c r="E100" s="4" t="str">
        <f t="shared" si="23"/>
        <v>Global Protection Corp</v>
      </c>
      <c r="F100" s="8" t="str">
        <f>"11500B"</f>
        <v>11500B</v>
      </c>
      <c r="G100" s="4" t="str">
        <f t="shared" si="24"/>
        <v>Bowl</v>
      </c>
      <c r="H100" s="4" t="str">
        <f>"Regular Size"</f>
        <v>Regular Size</v>
      </c>
      <c r="I100" s="4" t="str">
        <f>"11500B"</f>
        <v>11500B</v>
      </c>
      <c r="J100" s="8" t="str">
        <f>"Regular Size"</f>
        <v>Regular Size</v>
      </c>
      <c r="K100" s="8" t="str">
        <f t="shared" si="27"/>
        <v>100</v>
      </c>
      <c r="L100" s="4" t="str">
        <f t="shared" si="28"/>
        <v>Bowl</v>
      </c>
    </row>
    <row r="101" spans="1:12" x14ac:dyDescent="0.35">
      <c r="A101" s="4" t="str">
        <f>"98"</f>
        <v>98</v>
      </c>
      <c r="B101" s="4" t="s">
        <v>103</v>
      </c>
      <c r="C101" s="4" t="str">
        <f t="shared" si="29"/>
        <v>1.0</v>
      </c>
      <c r="D101" s="5">
        <v>20</v>
      </c>
      <c r="E101" s="4" t="str">
        <f t="shared" si="23"/>
        <v>Global Protection Corp</v>
      </c>
      <c r="F101" s="8" t="str">
        <f>"14000B"</f>
        <v>14000B</v>
      </c>
      <c r="G101" s="4" t="str">
        <f t="shared" si="24"/>
        <v>Bowl</v>
      </c>
      <c r="H101" s="4" t="str">
        <f>"Regular Size"</f>
        <v>Regular Size</v>
      </c>
      <c r="I101" s="4" t="str">
        <f>"14000B"</f>
        <v>14000B</v>
      </c>
      <c r="J101" s="8" t="str">
        <f>"Regular Size"</f>
        <v>Regular Size</v>
      </c>
      <c r="K101" s="8" t="str">
        <f t="shared" si="27"/>
        <v>100</v>
      </c>
      <c r="L101" s="4" t="str">
        <f t="shared" si="28"/>
        <v>Bowl</v>
      </c>
    </row>
    <row r="102" spans="1:12" x14ac:dyDescent="0.35">
      <c r="A102" s="4" t="str">
        <f>"99"</f>
        <v>99</v>
      </c>
      <c r="B102" s="4" t="s">
        <v>104</v>
      </c>
      <c r="C102" s="4" t="str">
        <f t="shared" si="29"/>
        <v>1.0</v>
      </c>
      <c r="D102" s="5">
        <v>75</v>
      </c>
      <c r="E102" s="4" t="str">
        <f t="shared" si="23"/>
        <v>Global Protection Corp</v>
      </c>
      <c r="F102" s="8" t="str">
        <f>"112100C"</f>
        <v>112100C</v>
      </c>
      <c r="G102" s="4" t="str">
        <f t="shared" ref="G102:G109" si="30">"Case"</f>
        <v>Case</v>
      </c>
      <c r="H102" s="4" t="str">
        <f>"Extra Large Size"</f>
        <v>Extra Large Size</v>
      </c>
      <c r="I102" s="4" t="str">
        <f>"112100C"</f>
        <v>112100C</v>
      </c>
      <c r="J102" s="8" t="str">
        <f>"Extra Large Size"</f>
        <v>Extra Large Size</v>
      </c>
      <c r="K102" s="8" t="str">
        <f>"1000"</f>
        <v>1000</v>
      </c>
      <c r="L102" s="4" t="str">
        <f t="shared" ref="L102:L109" si="31">"Case"</f>
        <v>Case</v>
      </c>
    </row>
    <row r="103" spans="1:12" x14ac:dyDescent="0.35">
      <c r="A103" s="4" t="str">
        <f>"100"</f>
        <v>100</v>
      </c>
      <c r="B103" s="4" t="s">
        <v>105</v>
      </c>
      <c r="C103" s="4" t="str">
        <f t="shared" si="29"/>
        <v>1.0</v>
      </c>
      <c r="D103" s="5">
        <v>78</v>
      </c>
      <c r="E103" s="4" t="str">
        <f>"Mayer Laboratories"</f>
        <v>Mayer Laboratories</v>
      </c>
      <c r="F103" s="8" t="str">
        <f>"M11000C"</f>
        <v>M11000C</v>
      </c>
      <c r="G103" s="4" t="str">
        <f t="shared" si="30"/>
        <v>Case</v>
      </c>
      <c r="H103" s="4" t="str">
        <f>"Regular Size"</f>
        <v>Regular Size</v>
      </c>
      <c r="I103" s="4" t="str">
        <f>"M11000C"</f>
        <v>M11000C</v>
      </c>
      <c r="J103" s="8" t="str">
        <f>"Regular Size"</f>
        <v>Regular Size</v>
      </c>
      <c r="K103" s="8" t="str">
        <f>"1000"</f>
        <v>1000</v>
      </c>
      <c r="L103" s="4" t="str">
        <f t="shared" si="31"/>
        <v>Case</v>
      </c>
    </row>
    <row r="104" spans="1:12" x14ac:dyDescent="0.35">
      <c r="A104" s="4" t="str">
        <f>"101"</f>
        <v>101</v>
      </c>
      <c r="B104" s="4" t="s">
        <v>106</v>
      </c>
      <c r="C104" s="4" t="str">
        <f t="shared" si="29"/>
        <v>1.0</v>
      </c>
      <c r="D104" s="5">
        <v>78</v>
      </c>
      <c r="E104" s="4" t="str">
        <f>"Mayer Laboratories"</f>
        <v>Mayer Laboratories</v>
      </c>
      <c r="F104" s="8" t="str">
        <f>"M11001C"</f>
        <v>M11001C</v>
      </c>
      <c r="G104" s="4" t="str">
        <f t="shared" si="30"/>
        <v>Case</v>
      </c>
      <c r="H104" s="4" t="str">
        <f>"Regular Size"</f>
        <v>Regular Size</v>
      </c>
      <c r="I104" s="4" t="str">
        <f>"M11001C"</f>
        <v>M11001C</v>
      </c>
      <c r="J104" s="8" t="str">
        <f>"Regular Size"</f>
        <v>Regular Size</v>
      </c>
      <c r="K104" s="8" t="str">
        <f>"1000"</f>
        <v>1000</v>
      </c>
      <c r="L104" s="4" t="str">
        <f t="shared" si="31"/>
        <v>Case</v>
      </c>
    </row>
    <row r="105" spans="1:12" x14ac:dyDescent="0.35">
      <c r="A105" s="4" t="str">
        <f>"102"</f>
        <v>102</v>
      </c>
      <c r="B105" s="4" t="s">
        <v>107</v>
      </c>
      <c r="C105" s="4" t="str">
        <f t="shared" si="29"/>
        <v>1.0</v>
      </c>
      <c r="D105" s="5">
        <v>100</v>
      </c>
      <c r="E105" s="4" t="str">
        <f>"Mayer Laboratories"</f>
        <v>Mayer Laboratories</v>
      </c>
      <c r="F105" s="8" t="str">
        <f>"M5014C"</f>
        <v>M5014C</v>
      </c>
      <c r="G105" s="4" t="str">
        <f t="shared" si="30"/>
        <v>Case</v>
      </c>
      <c r="H105" s="4" t="str">
        <f>"Regular Size"</f>
        <v>Regular Size</v>
      </c>
      <c r="I105" s="4" t="str">
        <f>"M5014C"</f>
        <v>M5014C</v>
      </c>
      <c r="J105" s="8" t="str">
        <f>"Regular Size"</f>
        <v>Regular Size</v>
      </c>
      <c r="K105" s="8" t="str">
        <f>"1000"</f>
        <v>1000</v>
      </c>
      <c r="L105" s="4" t="str">
        <f t="shared" si="31"/>
        <v>Case</v>
      </c>
    </row>
    <row r="106" spans="1:12" x14ac:dyDescent="0.35">
      <c r="A106" s="4" t="str">
        <f>"103"</f>
        <v>103</v>
      </c>
      <c r="B106" s="4" t="s">
        <v>108</v>
      </c>
      <c r="C106" s="4" t="str">
        <f t="shared" si="29"/>
        <v>1.0</v>
      </c>
      <c r="D106" s="5">
        <v>100</v>
      </c>
      <c r="E106" s="4" t="str">
        <f>"Mayer Laboratories"</f>
        <v>Mayer Laboratories</v>
      </c>
      <c r="F106" s="8" t="str">
        <f>"M2014C"</f>
        <v>M2014C</v>
      </c>
      <c r="G106" s="4" t="str">
        <f t="shared" si="30"/>
        <v>Case</v>
      </c>
      <c r="H106" s="4" t="str">
        <f>"Extra Large Size"</f>
        <v>Extra Large Size</v>
      </c>
      <c r="I106" s="4" t="str">
        <f>"M2014C"</f>
        <v>M2014C</v>
      </c>
      <c r="J106" s="8" t="str">
        <f>"Extra Large Size"</f>
        <v>Extra Large Size</v>
      </c>
      <c r="K106" s="8" t="str">
        <f>"1000"</f>
        <v>1000</v>
      </c>
      <c r="L106" s="4" t="str">
        <f t="shared" si="31"/>
        <v>Case</v>
      </c>
    </row>
    <row r="107" spans="1:12" x14ac:dyDescent="0.35">
      <c r="A107" s="4" t="str">
        <f>"104"</f>
        <v>104</v>
      </c>
      <c r="B107" s="4" t="s">
        <v>109</v>
      </c>
      <c r="C107" s="4" t="str">
        <f t="shared" si="29"/>
        <v>1.0</v>
      </c>
      <c r="D107" s="5">
        <v>99</v>
      </c>
      <c r="E107" s="4" t="str">
        <f>"Global Protection Corp"</f>
        <v>Global Protection Corp</v>
      </c>
      <c r="F107" s="8" t="str">
        <f>"BS01C"</f>
        <v>BS01C</v>
      </c>
      <c r="G107" s="4" t="str">
        <f t="shared" si="30"/>
        <v>Case</v>
      </c>
      <c r="H107" s="4" t="str">
        <f>"Regular Size"</f>
        <v>Regular Size</v>
      </c>
      <c r="I107" s="4" t="str">
        <f>"BS01C"</f>
        <v>BS01C</v>
      </c>
      <c r="J107" s="8" t="str">
        <f>"Regular Size"</f>
        <v>Regular Size</v>
      </c>
      <c r="K107" s="8" t="str">
        <f>"1024"</f>
        <v>1024</v>
      </c>
      <c r="L107" s="4" t="str">
        <f t="shared" si="31"/>
        <v>Case</v>
      </c>
    </row>
    <row r="108" spans="1:12" x14ac:dyDescent="0.35">
      <c r="A108" s="4" t="str">
        <f>"105"</f>
        <v>105</v>
      </c>
      <c r="B108" s="4" t="s">
        <v>110</v>
      </c>
      <c r="C108" s="4" t="str">
        <f t="shared" si="29"/>
        <v>1.0</v>
      </c>
      <c r="D108" s="5">
        <v>129</v>
      </c>
      <c r="E108" s="4" t="str">
        <f>"Global Protection Corp"</f>
        <v>Global Protection Corp</v>
      </c>
      <c r="F108" s="8" t="str">
        <f>"BS02C"</f>
        <v>BS02C</v>
      </c>
      <c r="G108" s="4" t="str">
        <f t="shared" si="30"/>
        <v>Case</v>
      </c>
      <c r="H108" s="4" t="str">
        <f>"Extra Large Size"</f>
        <v>Extra Large Size</v>
      </c>
      <c r="I108" s="4" t="str">
        <f>"BS02C"</f>
        <v>BS02C</v>
      </c>
      <c r="J108" s="8" t="str">
        <f>"Extra Large Size"</f>
        <v>Extra Large Size</v>
      </c>
      <c r="K108" s="8" t="str">
        <f>"1024"</f>
        <v>1024</v>
      </c>
      <c r="L108" s="4" t="str">
        <f t="shared" si="31"/>
        <v>Case</v>
      </c>
    </row>
    <row r="109" spans="1:12" x14ac:dyDescent="0.35">
      <c r="A109" s="4" t="str">
        <f>"106"</f>
        <v>106</v>
      </c>
      <c r="B109" s="4" t="s">
        <v>111</v>
      </c>
      <c r="C109" s="4" t="str">
        <f t="shared" si="29"/>
        <v>1.0</v>
      </c>
      <c r="D109" s="5">
        <v>100</v>
      </c>
      <c r="E109" s="4" t="str">
        <f>"Sxwell"</f>
        <v>Sxwell</v>
      </c>
      <c r="F109" s="8" t="str">
        <f>"A7000C"</f>
        <v>A7000C</v>
      </c>
      <c r="G109" s="4" t="str">
        <f t="shared" si="30"/>
        <v>Case</v>
      </c>
      <c r="H109" s="4" t="str">
        <f>"Waterbased "</f>
        <v xml:space="preserve">Waterbased </v>
      </c>
      <c r="I109" s="4" t="str">
        <f>"A7000C"</f>
        <v>A7000C</v>
      </c>
      <c r="J109" s="8" t="str">
        <f>"Waterbased "</f>
        <v xml:space="preserve">Waterbased </v>
      </c>
      <c r="K109" s="8" t="str">
        <f>"1000"</f>
        <v>1000</v>
      </c>
      <c r="L109" s="4" t="str">
        <f t="shared" si="31"/>
        <v>Case</v>
      </c>
    </row>
    <row r="110" spans="1:12" x14ac:dyDescent="0.35">
      <c r="A110" s="4" t="str">
        <f>"107"</f>
        <v>107</v>
      </c>
      <c r="B110" s="4" t="s">
        <v>112</v>
      </c>
      <c r="C110" s="4" t="str">
        <f t="shared" si="29"/>
        <v>1.0</v>
      </c>
      <c r="D110" s="5">
        <v>20.16</v>
      </c>
      <c r="E110" s="4" t="str">
        <f>"Mayer Laboratories"</f>
        <v>Mayer Laboratories</v>
      </c>
      <c r="F110" s="8" t="str">
        <f>"M510253U"</f>
        <v>M510253U</v>
      </c>
      <c r="G110" s="4" t="str">
        <f>"Bag"</f>
        <v>Bag</v>
      </c>
      <c r="H110" s="4" t="str">
        <f>"Waterbased "</f>
        <v xml:space="preserve">Waterbased </v>
      </c>
      <c r="I110" s="4" t="str">
        <f>"M510253U"</f>
        <v>M510253U</v>
      </c>
      <c r="J110" s="8" t="str">
        <f>"Waterbased "</f>
        <v xml:space="preserve">Waterbased </v>
      </c>
      <c r="K110" s="8" t="str">
        <f>"144"</f>
        <v>144</v>
      </c>
      <c r="L110" s="4" t="str">
        <f>"Bag"</f>
        <v>Bag</v>
      </c>
    </row>
    <row r="111" spans="1:12" x14ac:dyDescent="0.35">
      <c r="A111" s="4" t="str">
        <f>"108"</f>
        <v>108</v>
      </c>
      <c r="B111" s="4" t="s">
        <v>113</v>
      </c>
      <c r="C111" s="4" t="str">
        <f t="shared" si="29"/>
        <v>1.0</v>
      </c>
      <c r="D111" s="5">
        <v>14</v>
      </c>
      <c r="E111" s="4" t="str">
        <f>"Global Protection Corp"</f>
        <v>Global Protection Corp</v>
      </c>
      <c r="F111" s="8" t="str">
        <f>"11E01U"</f>
        <v>11E01U</v>
      </c>
      <c r="G111" s="4" t="str">
        <f>"Pack"</f>
        <v>Pack</v>
      </c>
      <c r="H111" s="4" t="str">
        <f>"Education "</f>
        <v xml:space="preserve">Education </v>
      </c>
      <c r="I111" s="4" t="str">
        <f>"11E01U"</f>
        <v>11E01U</v>
      </c>
      <c r="J111" s="8" t="str">
        <f>"Education "</f>
        <v xml:space="preserve">Education </v>
      </c>
      <c r="K111" s="8" t="str">
        <f>"100"</f>
        <v>100</v>
      </c>
      <c r="L111" s="4" t="str">
        <f>"Pack"</f>
        <v>Pack</v>
      </c>
    </row>
    <row r="112" spans="1:12" x14ac:dyDescent="0.35">
      <c r="A112" s="4" t="str">
        <f>"109"</f>
        <v>109</v>
      </c>
      <c r="B112" s="4" t="s">
        <v>114</v>
      </c>
      <c r="C112" s="4" t="str">
        <f t="shared" si="29"/>
        <v>1.0</v>
      </c>
      <c r="D112" s="5">
        <v>14</v>
      </c>
      <c r="E112" s="4" t="str">
        <f>"Global Protection Corp"</f>
        <v>Global Protection Corp</v>
      </c>
      <c r="F112" s="8" t="str">
        <f>"11E02U"</f>
        <v>11E02U</v>
      </c>
      <c r="G112" s="4" t="str">
        <f>"Pack"</f>
        <v>Pack</v>
      </c>
      <c r="H112" s="4" t="str">
        <f>"Education "</f>
        <v xml:space="preserve">Education </v>
      </c>
      <c r="I112" s="4" t="str">
        <f>"11E02U"</f>
        <v>11E02U</v>
      </c>
      <c r="J112" s="8" t="str">
        <f>"Education "</f>
        <v xml:space="preserve">Education </v>
      </c>
      <c r="K112" s="8" t="str">
        <f>"100"</f>
        <v>100</v>
      </c>
      <c r="L112" s="4" t="str">
        <f>"Pack"</f>
        <v>Pack</v>
      </c>
    </row>
    <row r="113" spans="1:12" x14ac:dyDescent="0.35">
      <c r="A113" s="4" t="str">
        <f>"110"</f>
        <v>110</v>
      </c>
      <c r="B113" s="4" t="s">
        <v>115</v>
      </c>
      <c r="C113" s="4" t="str">
        <f t="shared" si="29"/>
        <v>1.0</v>
      </c>
      <c r="D113" s="5">
        <v>14</v>
      </c>
      <c r="E113" s="4" t="str">
        <f>"Global Protection Corp"</f>
        <v>Global Protection Corp</v>
      </c>
      <c r="F113" s="8" t="str">
        <f>"11E03U"</f>
        <v>11E03U</v>
      </c>
      <c r="G113" s="4" t="str">
        <f>"Pack"</f>
        <v>Pack</v>
      </c>
      <c r="H113" s="4" t="str">
        <f>"Education "</f>
        <v xml:space="preserve">Education </v>
      </c>
      <c r="I113" s="4" t="str">
        <f>"11E03U"</f>
        <v>11E03U</v>
      </c>
      <c r="J113" s="8" t="str">
        <f>"Education "</f>
        <v xml:space="preserve">Education </v>
      </c>
      <c r="K113" s="8" t="str">
        <f>"100"</f>
        <v>100</v>
      </c>
      <c r="L113" s="4" t="str">
        <f>"Pack"</f>
        <v>Pack</v>
      </c>
    </row>
    <row r="114" spans="1:12" x14ac:dyDescent="0.35">
      <c r="A114" s="4" t="str">
        <f>"111"</f>
        <v>111</v>
      </c>
      <c r="B114" s="4" t="s">
        <v>116</v>
      </c>
      <c r="C114" s="4" t="str">
        <f t="shared" si="29"/>
        <v>1.0</v>
      </c>
      <c r="D114" s="5">
        <v>14</v>
      </c>
      <c r="E114" s="4" t="str">
        <f>"Global Protection Corp"</f>
        <v>Global Protection Corp</v>
      </c>
      <c r="F114" s="8" t="str">
        <f>"11E05U"</f>
        <v>11E05U</v>
      </c>
      <c r="G114" s="4" t="str">
        <f>"Pack"</f>
        <v>Pack</v>
      </c>
      <c r="H114" s="4" t="str">
        <f>"Education "</f>
        <v xml:space="preserve">Education </v>
      </c>
      <c r="I114" s="4" t="str">
        <f>"11E05U"</f>
        <v>11E05U</v>
      </c>
      <c r="J114" s="8" t="str">
        <f>"Education "</f>
        <v xml:space="preserve">Education </v>
      </c>
      <c r="K114" s="8" t="str">
        <f>"100"</f>
        <v>100</v>
      </c>
      <c r="L114" s="4" t="str">
        <f>"Pack"</f>
        <v>Pack</v>
      </c>
    </row>
    <row r="115" spans="1:12" x14ac:dyDescent="0.35">
      <c r="A115" s="4" t="str">
        <f>"112"</f>
        <v>112</v>
      </c>
      <c r="B115" s="4" t="s">
        <v>117</v>
      </c>
      <c r="C115" s="4" t="str">
        <f t="shared" si="29"/>
        <v>1.0</v>
      </c>
      <c r="D115" s="5">
        <v>14</v>
      </c>
      <c r="E115" s="4" t="str">
        <f>"Global Protection Corp"</f>
        <v>Global Protection Corp</v>
      </c>
      <c r="F115" s="8" t="str">
        <f>"11E06U"</f>
        <v>11E06U</v>
      </c>
      <c r="G115" s="4" t="str">
        <f>"Pack"</f>
        <v>Pack</v>
      </c>
      <c r="H115" s="4" t="str">
        <f>"Education "</f>
        <v xml:space="preserve">Education </v>
      </c>
      <c r="I115" s="4" t="str">
        <f>"11E06U"</f>
        <v>11E06U</v>
      </c>
      <c r="J115" s="8" t="str">
        <f>"Education "</f>
        <v xml:space="preserve">Education </v>
      </c>
      <c r="K115" s="8" t="str">
        <f>"100"</f>
        <v>100</v>
      </c>
      <c r="L115" s="4" t="str">
        <f>"Pack"</f>
        <v>Pack</v>
      </c>
    </row>
    <row r="116" spans="1:12" x14ac:dyDescent="0.35">
      <c r="A116" s="4"/>
      <c r="B116" s="4" t="s">
        <v>118</v>
      </c>
      <c r="C116" s="6">
        <v>1</v>
      </c>
      <c r="D116" s="7">
        <v>148.80000000000001</v>
      </c>
      <c r="E116" s="4" t="s">
        <v>119</v>
      </c>
      <c r="F116" s="8" t="s">
        <v>120</v>
      </c>
      <c r="G116" s="4" t="s">
        <v>121</v>
      </c>
      <c r="H116" s="4" t="s">
        <v>122</v>
      </c>
      <c r="I116" s="4" t="s">
        <v>120</v>
      </c>
      <c r="J116" s="8" t="s">
        <v>122</v>
      </c>
      <c r="K116" s="8">
        <v>100</v>
      </c>
      <c r="L116" s="4" t="s">
        <v>121</v>
      </c>
    </row>
    <row r="117" spans="1:12" x14ac:dyDescent="0.35">
      <c r="A117" s="4"/>
      <c r="B117" s="4" t="s">
        <v>123</v>
      </c>
      <c r="C117" s="6">
        <v>1</v>
      </c>
      <c r="D117" s="7">
        <v>700.8</v>
      </c>
      <c r="E117" s="4" t="s">
        <v>119</v>
      </c>
      <c r="F117" s="8" t="s">
        <v>124</v>
      </c>
      <c r="G117" s="4" t="s">
        <v>125</v>
      </c>
      <c r="H117" s="4" t="s">
        <v>122</v>
      </c>
      <c r="I117" s="4" t="s">
        <v>124</v>
      </c>
      <c r="J117" s="8" t="s">
        <v>122</v>
      </c>
      <c r="K117" s="8">
        <v>500</v>
      </c>
      <c r="L117" s="4" t="s">
        <v>125</v>
      </c>
    </row>
    <row r="118" spans="1:12" x14ac:dyDescent="0.35">
      <c r="A118" s="4"/>
      <c r="B118" s="4" t="s">
        <v>126</v>
      </c>
      <c r="C118" s="6">
        <v>1</v>
      </c>
      <c r="D118" s="7">
        <v>1358</v>
      </c>
      <c r="E118" s="4" t="s">
        <v>119</v>
      </c>
      <c r="F118" s="8">
        <v>121107</v>
      </c>
      <c r="G118" s="4" t="s">
        <v>125</v>
      </c>
      <c r="H118" s="4" t="s">
        <v>122</v>
      </c>
      <c r="I118" s="4" t="s">
        <v>127</v>
      </c>
      <c r="J118" s="8" t="s">
        <v>122</v>
      </c>
      <c r="K118" s="8">
        <v>1000</v>
      </c>
      <c r="L118" s="4" t="s">
        <v>125</v>
      </c>
    </row>
  </sheetData>
  <mergeCells count="2">
    <mergeCell ref="A2:L2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Amendment #13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Nihart</dc:creator>
  <cp:lastModifiedBy>Ioanna, Nicholas (DES)</cp:lastModifiedBy>
  <dcterms:created xsi:type="dcterms:W3CDTF">2022-04-27T14:19:10Z</dcterms:created>
  <dcterms:modified xsi:type="dcterms:W3CDTF">2022-11-07T17:28:32Z</dcterms:modified>
</cp:coreProperties>
</file>